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hoodin\Desktop\Projects\TIGER-FASTLANE\Fall2016\I-30\BCA\"/>
    </mc:Choice>
  </mc:AlternateContent>
  <bookViews>
    <workbookView xWindow="0" yWindow="0" windowWidth="20496" windowHeight="7152" tabRatio="710" firstSheet="8" activeTab="13"/>
  </bookViews>
  <sheets>
    <sheet name="About the Spreadsheet Tabs" sheetId="123" r:id="rId1"/>
    <sheet name="Raw Traffic Counts" sheetId="127" r:id="rId2"/>
    <sheet name="Raw LOS" sheetId="129" r:id="rId3"/>
    <sheet name="VMT" sheetId="144" r:id="rId4"/>
    <sheet name="LOS to Delay" sheetId="140" r:id="rId5"/>
    <sheet name="Annualized" sheetId="141" r:id="rId6"/>
    <sheet name="Straight-Line Change" sheetId="142" r:id="rId7"/>
    <sheet name="VOT and VOC" sheetId="134" r:id="rId8"/>
    <sheet name="Emissions Costs" sheetId="136" r:id="rId9"/>
    <sheet name="Crash Costs" sheetId="135" r:id="rId10"/>
    <sheet name="M&amp;O Costs" sheetId="114" r:id="rId11"/>
    <sheet name="ConstructionCosts" sheetId="108" r:id="rId12"/>
    <sheet name="ForEIA" sheetId="139" r:id="rId13"/>
    <sheet name="BCA" sheetId="109" r:id="rId14"/>
    <sheet name="Deliverable" sheetId="121" r:id="rId15"/>
    <sheet name="Economic Impacts" sheetId="122" r:id="rId16"/>
    <sheet name="Unit Costs" sheetId="79" r:id="rId17"/>
    <sheet name="EmissionsRates" sheetId="19" state="hidden" r:id="rId18"/>
    <sheet name="WageRates" sheetId="5" state="hidden" r:id="rId19"/>
    <sheet name="TravelTimeIndex" sheetId="111" state="hidden" r:id="rId20"/>
    <sheet name="Pivot" sheetId="120" state="hidden" r:id="rId21"/>
    <sheet name="M&amp;O" sheetId="116" state="hidden" r:id="rId22"/>
    <sheet name="Pavement" sheetId="112" state="hidden" r:id="rId23"/>
    <sheet name="Crash Rates" sheetId="93" state="hidden" r:id="rId24"/>
    <sheet name="OperatingCosts" sheetId="6" r:id="rId25"/>
    <sheet name="SafetyValues" sheetId="8" state="hidden" r:id="rId26"/>
    <sheet name="FuelConsumption" sheetId="117" state="hidden" r:id="rId27"/>
    <sheet name="CPI" sheetId="7" state="hidden" r:id="rId2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4" i="140" l="1"/>
  <c r="AB14" i="140"/>
  <c r="D37" i="139" l="1"/>
  <c r="D32" i="139"/>
  <c r="D28" i="139"/>
  <c r="Z11" i="140"/>
  <c r="Z10" i="140"/>
  <c r="Z8" i="140"/>
  <c r="Z7" i="140"/>
  <c r="Z6" i="140"/>
  <c r="AB6" i="140"/>
  <c r="O5" i="140"/>
  <c r="P5" i="140"/>
  <c r="Q5" i="140"/>
  <c r="R5" i="140"/>
  <c r="S5" i="140"/>
  <c r="T5" i="140"/>
  <c r="O6" i="140"/>
  <c r="P6" i="140"/>
  <c r="Q6" i="140"/>
  <c r="R6" i="140"/>
  <c r="S6" i="140"/>
  <c r="T6" i="140"/>
  <c r="O7" i="140"/>
  <c r="P7" i="140"/>
  <c r="Q7" i="140"/>
  <c r="R7" i="140"/>
  <c r="S7" i="140"/>
  <c r="T7" i="140"/>
  <c r="O8" i="140"/>
  <c r="P8" i="140"/>
  <c r="Q8" i="140"/>
  <c r="R8" i="140"/>
  <c r="S8" i="140"/>
  <c r="T8" i="140"/>
  <c r="O9" i="140"/>
  <c r="P9" i="140"/>
  <c r="Q9" i="140"/>
  <c r="R9" i="140"/>
  <c r="S9" i="140"/>
  <c r="T9" i="140"/>
  <c r="O10" i="140"/>
  <c r="P10" i="140"/>
  <c r="Q10" i="140"/>
  <c r="R10" i="140"/>
  <c r="S10" i="140"/>
  <c r="T10" i="140"/>
  <c r="O11" i="140"/>
  <c r="P11" i="140"/>
  <c r="Q11" i="140"/>
  <c r="R11" i="140"/>
  <c r="S11" i="140"/>
  <c r="T11" i="140"/>
  <c r="O12" i="140"/>
  <c r="P12" i="140"/>
  <c r="Q12" i="140"/>
  <c r="R12" i="140"/>
  <c r="S12" i="140"/>
  <c r="T12" i="140"/>
  <c r="O13" i="140"/>
  <c r="P13" i="140"/>
  <c r="Q13" i="140"/>
  <c r="R13" i="140"/>
  <c r="S13" i="140"/>
  <c r="T13" i="140"/>
  <c r="O14" i="140"/>
  <c r="P14" i="140"/>
  <c r="Q14" i="140"/>
  <c r="R14" i="140"/>
  <c r="S14" i="140"/>
  <c r="T14" i="140"/>
  <c r="O15" i="140"/>
  <c r="P15" i="140"/>
  <c r="Q15" i="140"/>
  <c r="R15" i="140"/>
  <c r="S15" i="140"/>
  <c r="T15" i="140"/>
  <c r="P4" i="140"/>
  <c r="Q4" i="140"/>
  <c r="R4" i="140"/>
  <c r="S4" i="140"/>
  <c r="T4" i="140"/>
  <c r="O4" i="140"/>
  <c r="F5" i="140"/>
  <c r="AM6" i="121" l="1"/>
  <c r="AM5" i="121"/>
  <c r="AD5" i="121"/>
  <c r="C56" i="109"/>
  <c r="C46" i="109"/>
  <c r="D60" i="109"/>
  <c r="D56" i="109"/>
  <c r="D57" i="109"/>
  <c r="D58" i="109"/>
  <c r="D49" i="109"/>
  <c r="D54" i="109" s="1"/>
  <c r="D50" i="109"/>
  <c r="D51" i="109"/>
  <c r="D52" i="109"/>
  <c r="D53" i="109"/>
  <c r="D46" i="109"/>
  <c r="D47" i="109"/>
  <c r="C37" i="109"/>
  <c r="C27" i="109"/>
  <c r="D41" i="109"/>
  <c r="D37" i="109"/>
  <c r="D38" i="109"/>
  <c r="D39" i="109"/>
  <c r="D30" i="109"/>
  <c r="D31" i="109"/>
  <c r="D32" i="109"/>
  <c r="D35" i="109" s="1"/>
  <c r="D33" i="109"/>
  <c r="D34" i="109"/>
  <c r="D27" i="109"/>
  <c r="D28" i="109"/>
  <c r="C18" i="109"/>
  <c r="C8" i="109"/>
  <c r="D22" i="109"/>
  <c r="D20" i="109"/>
  <c r="D18" i="109"/>
  <c r="E18" i="109"/>
  <c r="D16" i="108"/>
  <c r="E16" i="108"/>
  <c r="F16" i="108"/>
  <c r="G16" i="108"/>
  <c r="H16" i="108"/>
  <c r="I16" i="108"/>
  <c r="C16" i="108"/>
  <c r="H9" i="108"/>
  <c r="D9" i="108"/>
  <c r="E9" i="108"/>
  <c r="F9" i="108"/>
  <c r="G9" i="108"/>
  <c r="I9" i="108"/>
  <c r="C9" i="108"/>
  <c r="E8" i="108"/>
  <c r="F8" i="108"/>
  <c r="G8" i="108"/>
  <c r="F7" i="108"/>
  <c r="G7" i="108"/>
  <c r="E7" i="108"/>
  <c r="D6" i="108"/>
  <c r="C4" i="108"/>
  <c r="C5" i="108"/>
  <c r="C3" i="108"/>
  <c r="D16" i="109"/>
  <c r="F3" i="114" l="1"/>
  <c r="H14" i="140" l="1"/>
  <c r="AO94" i="140"/>
  <c r="AG106" i="140"/>
  <c r="AO106" i="140" s="1"/>
  <c r="AF106" i="140"/>
  <c r="AN106" i="140" s="1"/>
  <c r="AE106" i="140"/>
  <c r="AM106" i="140" s="1"/>
  <c r="AD106" i="140"/>
  <c r="AL106" i="140" s="1"/>
  <c r="AG105" i="140"/>
  <c r="AO105" i="140" s="1"/>
  <c r="AF105" i="140"/>
  <c r="AN105" i="140" s="1"/>
  <c r="AE105" i="140"/>
  <c r="AM105" i="140" s="1"/>
  <c r="AD105" i="140"/>
  <c r="AL105" i="140" s="1"/>
  <c r="AG104" i="140"/>
  <c r="AO104" i="140" s="1"/>
  <c r="AF104" i="140"/>
  <c r="AN104" i="140" s="1"/>
  <c r="AE104" i="140"/>
  <c r="AM104" i="140" s="1"/>
  <c r="AD104" i="140"/>
  <c r="AL104" i="140" s="1"/>
  <c r="AG103" i="140"/>
  <c r="AO103" i="140" s="1"/>
  <c r="AF103" i="140"/>
  <c r="AN103" i="140" s="1"/>
  <c r="AE103" i="140"/>
  <c r="AM103" i="140" s="1"/>
  <c r="AD103" i="140"/>
  <c r="AL103" i="140" s="1"/>
  <c r="AG102" i="140"/>
  <c r="AO102" i="140" s="1"/>
  <c r="AF102" i="140"/>
  <c r="AN102" i="140" s="1"/>
  <c r="AE102" i="140"/>
  <c r="AM102" i="140" s="1"/>
  <c r="AD102" i="140"/>
  <c r="AL102" i="140" s="1"/>
  <c r="AG101" i="140"/>
  <c r="AO101" i="140" s="1"/>
  <c r="AF101" i="140"/>
  <c r="AN101" i="140" s="1"/>
  <c r="AE101" i="140"/>
  <c r="AM101" i="140" s="1"/>
  <c r="AD101" i="140"/>
  <c r="AL101" i="140" s="1"/>
  <c r="AG100" i="140"/>
  <c r="AO100" i="140" s="1"/>
  <c r="AF100" i="140"/>
  <c r="AN100" i="140" s="1"/>
  <c r="AE100" i="140"/>
  <c r="AM100" i="140" s="1"/>
  <c r="AD100" i="140"/>
  <c r="AL100" i="140" s="1"/>
  <c r="AG99" i="140"/>
  <c r="AO99" i="140" s="1"/>
  <c r="AF99" i="140"/>
  <c r="AN99" i="140" s="1"/>
  <c r="AE99" i="140"/>
  <c r="AM99" i="140" s="1"/>
  <c r="AD99" i="140"/>
  <c r="AL99" i="140" s="1"/>
  <c r="AG98" i="140"/>
  <c r="AO98" i="140" s="1"/>
  <c r="AF98" i="140"/>
  <c r="AN98" i="140" s="1"/>
  <c r="AE98" i="140"/>
  <c r="AM98" i="140" s="1"/>
  <c r="AD98" i="140"/>
  <c r="AL98" i="140" s="1"/>
  <c r="AG97" i="140"/>
  <c r="AO97" i="140" s="1"/>
  <c r="AF97" i="140"/>
  <c r="AN97" i="140" s="1"/>
  <c r="AE97" i="140"/>
  <c r="AM97" i="140" s="1"/>
  <c r="AD97" i="140"/>
  <c r="AL97" i="140" s="1"/>
  <c r="AG96" i="140"/>
  <c r="AO96" i="140" s="1"/>
  <c r="AF96" i="140"/>
  <c r="AN96" i="140" s="1"/>
  <c r="AE96" i="140"/>
  <c r="AM96" i="140" s="1"/>
  <c r="AD96" i="140"/>
  <c r="AL96" i="140" s="1"/>
  <c r="AG95" i="140"/>
  <c r="AO95" i="140" s="1"/>
  <c r="AF95" i="140"/>
  <c r="AN95" i="140" s="1"/>
  <c r="AE95" i="140"/>
  <c r="AM95" i="140" s="1"/>
  <c r="AD95" i="140"/>
  <c r="AL95" i="140" s="1"/>
  <c r="AG94" i="140"/>
  <c r="AF94" i="140"/>
  <c r="AN94" i="140" s="1"/>
  <c r="AE94" i="140"/>
  <c r="AM94" i="140" s="1"/>
  <c r="AD94" i="140"/>
  <c r="AL94" i="140" s="1"/>
  <c r="AG93" i="140"/>
  <c r="AO93" i="140" s="1"/>
  <c r="AF93" i="140"/>
  <c r="AN93" i="140" s="1"/>
  <c r="AE93" i="140"/>
  <c r="AM93" i="140" s="1"/>
  <c r="AD93" i="140"/>
  <c r="AL93" i="140" s="1"/>
  <c r="AG92" i="140"/>
  <c r="AO92" i="140" s="1"/>
  <c r="AF92" i="140"/>
  <c r="AN92" i="140" s="1"/>
  <c r="AE92" i="140"/>
  <c r="AM92" i="140" s="1"/>
  <c r="AD92" i="140"/>
  <c r="AL92" i="140" s="1"/>
  <c r="AG91" i="140"/>
  <c r="AO91" i="140" s="1"/>
  <c r="AF91" i="140"/>
  <c r="AN91" i="140" s="1"/>
  <c r="AE91" i="140"/>
  <c r="AM91" i="140" s="1"/>
  <c r="AD91" i="140"/>
  <c r="AL91" i="140" s="1"/>
  <c r="AG90" i="140"/>
  <c r="AG107" i="140" s="1"/>
  <c r="G14" i="140" s="1"/>
  <c r="AF90" i="140"/>
  <c r="AF107" i="140" s="1"/>
  <c r="F14" i="140" s="1"/>
  <c r="AE90" i="140"/>
  <c r="AE107" i="140" s="1"/>
  <c r="D14" i="140" s="1"/>
  <c r="AD90" i="140"/>
  <c r="AD107" i="140" s="1"/>
  <c r="C14" i="140" s="1"/>
  <c r="E14" i="140" s="1"/>
  <c r="AG83" i="140"/>
  <c r="AO83" i="140" s="1"/>
  <c r="AF83" i="140"/>
  <c r="AN83" i="140" s="1"/>
  <c r="AE83" i="140"/>
  <c r="AM83" i="140" s="1"/>
  <c r="AD83" i="140"/>
  <c r="AL83" i="140" s="1"/>
  <c r="AG82" i="140"/>
  <c r="AO82" i="140" s="1"/>
  <c r="AF82" i="140"/>
  <c r="AN82" i="140" s="1"/>
  <c r="AE82" i="140"/>
  <c r="AM82" i="140" s="1"/>
  <c r="AD82" i="140"/>
  <c r="AL82" i="140" s="1"/>
  <c r="AG81" i="140"/>
  <c r="AO81" i="140" s="1"/>
  <c r="AF81" i="140"/>
  <c r="AN81" i="140" s="1"/>
  <c r="AE81" i="140"/>
  <c r="AM81" i="140" s="1"/>
  <c r="AD81" i="140"/>
  <c r="AL81" i="140" s="1"/>
  <c r="AG80" i="140"/>
  <c r="AO80" i="140" s="1"/>
  <c r="AF80" i="140"/>
  <c r="AN80" i="140" s="1"/>
  <c r="AE80" i="140"/>
  <c r="AM80" i="140" s="1"/>
  <c r="AD80" i="140"/>
  <c r="AL80" i="140" s="1"/>
  <c r="AG79" i="140"/>
  <c r="AO79" i="140" s="1"/>
  <c r="AF79" i="140"/>
  <c r="AN79" i="140" s="1"/>
  <c r="AE79" i="140"/>
  <c r="AM79" i="140" s="1"/>
  <c r="AD79" i="140"/>
  <c r="AL79" i="140" s="1"/>
  <c r="AG78" i="140"/>
  <c r="AO78" i="140" s="1"/>
  <c r="AF78" i="140"/>
  <c r="AN78" i="140" s="1"/>
  <c r="AE78" i="140"/>
  <c r="AM78" i="140" s="1"/>
  <c r="AD78" i="140"/>
  <c r="AL78" i="140" s="1"/>
  <c r="AG77" i="140"/>
  <c r="AO77" i="140" s="1"/>
  <c r="AF77" i="140"/>
  <c r="AN77" i="140" s="1"/>
  <c r="AE77" i="140"/>
  <c r="AM77" i="140" s="1"/>
  <c r="AD77" i="140"/>
  <c r="AL77" i="140" s="1"/>
  <c r="AG76" i="140"/>
  <c r="AO76" i="140" s="1"/>
  <c r="AF76" i="140"/>
  <c r="AN76" i="140" s="1"/>
  <c r="AE76" i="140"/>
  <c r="AM76" i="140" s="1"/>
  <c r="AD76" i="140"/>
  <c r="AL76" i="140" s="1"/>
  <c r="AG75" i="140"/>
  <c r="AO75" i="140" s="1"/>
  <c r="AF75" i="140"/>
  <c r="AN75" i="140" s="1"/>
  <c r="AE75" i="140"/>
  <c r="AM75" i="140" s="1"/>
  <c r="AD75" i="140"/>
  <c r="AL75" i="140" s="1"/>
  <c r="AG74" i="140"/>
  <c r="AO74" i="140" s="1"/>
  <c r="AF74" i="140"/>
  <c r="AN74" i="140" s="1"/>
  <c r="AE74" i="140"/>
  <c r="AM74" i="140" s="1"/>
  <c r="AD74" i="140"/>
  <c r="AL74" i="140" s="1"/>
  <c r="AG73" i="140"/>
  <c r="AO73" i="140" s="1"/>
  <c r="AF73" i="140"/>
  <c r="AN73" i="140" s="1"/>
  <c r="AE73" i="140"/>
  <c r="AM73" i="140" s="1"/>
  <c r="AD73" i="140"/>
  <c r="AL73" i="140" s="1"/>
  <c r="AG72" i="140"/>
  <c r="AO72" i="140" s="1"/>
  <c r="AF72" i="140"/>
  <c r="AN72" i="140" s="1"/>
  <c r="AE72" i="140"/>
  <c r="AM72" i="140" s="1"/>
  <c r="AD72" i="140"/>
  <c r="AL72" i="140" s="1"/>
  <c r="AG71" i="140"/>
  <c r="AO71" i="140" s="1"/>
  <c r="AF71" i="140"/>
  <c r="AN71" i="140" s="1"/>
  <c r="AE71" i="140"/>
  <c r="AM71" i="140" s="1"/>
  <c r="AD71" i="140"/>
  <c r="AL71" i="140" s="1"/>
  <c r="AG70" i="140"/>
  <c r="AO70" i="140" s="1"/>
  <c r="AF70" i="140"/>
  <c r="AN70" i="140" s="1"/>
  <c r="AE70" i="140"/>
  <c r="AM70" i="140" s="1"/>
  <c r="AD70" i="140"/>
  <c r="AL70" i="140" s="1"/>
  <c r="AG69" i="140"/>
  <c r="AG84" i="140" s="1"/>
  <c r="G13" i="140" s="1"/>
  <c r="G15" i="140" s="1"/>
  <c r="AF69" i="140"/>
  <c r="AE69" i="140"/>
  <c r="AE84" i="140" s="1"/>
  <c r="D13" i="140" s="1"/>
  <c r="D15" i="140" s="1"/>
  <c r="AD69" i="140"/>
  <c r="AD84" i="140" s="1"/>
  <c r="C13" i="140" s="1"/>
  <c r="C15" i="140" s="1"/>
  <c r="AG62" i="140"/>
  <c r="AO62" i="140" s="1"/>
  <c r="AF62" i="140"/>
  <c r="AN62" i="140" s="1"/>
  <c r="AE62" i="140"/>
  <c r="AM62" i="140" s="1"/>
  <c r="AD62" i="140"/>
  <c r="AL62" i="140" s="1"/>
  <c r="AG61" i="140"/>
  <c r="AO61" i="140" s="1"/>
  <c r="AF61" i="140"/>
  <c r="AN61" i="140" s="1"/>
  <c r="AE61" i="140"/>
  <c r="AM61" i="140" s="1"/>
  <c r="AD61" i="140"/>
  <c r="AL61" i="140" s="1"/>
  <c r="AG60" i="140"/>
  <c r="AO60" i="140" s="1"/>
  <c r="AF60" i="140"/>
  <c r="AN60" i="140" s="1"/>
  <c r="AE60" i="140"/>
  <c r="AM60" i="140" s="1"/>
  <c r="AD60" i="140"/>
  <c r="AL60" i="140" s="1"/>
  <c r="AG59" i="140"/>
  <c r="AO59" i="140" s="1"/>
  <c r="AF59" i="140"/>
  <c r="AN59" i="140" s="1"/>
  <c r="AE59" i="140"/>
  <c r="AM59" i="140" s="1"/>
  <c r="AD59" i="140"/>
  <c r="AL59" i="140" s="1"/>
  <c r="AG58" i="140"/>
  <c r="AO58" i="140" s="1"/>
  <c r="AF58" i="140"/>
  <c r="AN58" i="140" s="1"/>
  <c r="AE58" i="140"/>
  <c r="AM58" i="140" s="1"/>
  <c r="AD58" i="140"/>
  <c r="AL58" i="140" s="1"/>
  <c r="AG57" i="140"/>
  <c r="AO57" i="140" s="1"/>
  <c r="AF57" i="140"/>
  <c r="AN57" i="140" s="1"/>
  <c r="AE57" i="140"/>
  <c r="AM57" i="140" s="1"/>
  <c r="AD57" i="140"/>
  <c r="AL57" i="140" s="1"/>
  <c r="AG56" i="140"/>
  <c r="AO56" i="140" s="1"/>
  <c r="AF56" i="140"/>
  <c r="AN56" i="140" s="1"/>
  <c r="AE56" i="140"/>
  <c r="AM56" i="140" s="1"/>
  <c r="AD56" i="140"/>
  <c r="AL56" i="140" s="1"/>
  <c r="AG55" i="140"/>
  <c r="AO55" i="140" s="1"/>
  <c r="AF55" i="140"/>
  <c r="AN55" i="140" s="1"/>
  <c r="AE55" i="140"/>
  <c r="AM55" i="140" s="1"/>
  <c r="AD55" i="140"/>
  <c r="AL55" i="140" s="1"/>
  <c r="AG54" i="140"/>
  <c r="AO54" i="140" s="1"/>
  <c r="AF54" i="140"/>
  <c r="AN54" i="140" s="1"/>
  <c r="AE54" i="140"/>
  <c r="AM54" i="140" s="1"/>
  <c r="AD54" i="140"/>
  <c r="AL54" i="140" s="1"/>
  <c r="AG53" i="140"/>
  <c r="AO53" i="140" s="1"/>
  <c r="AF53" i="140"/>
  <c r="AN53" i="140" s="1"/>
  <c r="AE53" i="140"/>
  <c r="AM53" i="140" s="1"/>
  <c r="AD53" i="140"/>
  <c r="AL53" i="140" s="1"/>
  <c r="AG52" i="140"/>
  <c r="AO52" i="140" s="1"/>
  <c r="AF52" i="140"/>
  <c r="AN52" i="140" s="1"/>
  <c r="AE52" i="140"/>
  <c r="AM52" i="140" s="1"/>
  <c r="AD52" i="140"/>
  <c r="AL52" i="140" s="1"/>
  <c r="AG51" i="140"/>
  <c r="AO51" i="140" s="1"/>
  <c r="AF51" i="140"/>
  <c r="AN51" i="140" s="1"/>
  <c r="AE51" i="140"/>
  <c r="AM51" i="140" s="1"/>
  <c r="AD51" i="140"/>
  <c r="AL51" i="140" s="1"/>
  <c r="AG50" i="140"/>
  <c r="AO50" i="140" s="1"/>
  <c r="AF50" i="140"/>
  <c r="AN50" i="140" s="1"/>
  <c r="AE50" i="140"/>
  <c r="AM50" i="140" s="1"/>
  <c r="AD50" i="140"/>
  <c r="AL50" i="140" s="1"/>
  <c r="AG49" i="140"/>
  <c r="AO49" i="140" s="1"/>
  <c r="AF49" i="140"/>
  <c r="AN49" i="140" s="1"/>
  <c r="AE49" i="140"/>
  <c r="AM49" i="140" s="1"/>
  <c r="AD49" i="140"/>
  <c r="AL49" i="140" s="1"/>
  <c r="AG48" i="140"/>
  <c r="AO48" i="140" s="1"/>
  <c r="AF48" i="140"/>
  <c r="AN48" i="140" s="1"/>
  <c r="AE48" i="140"/>
  <c r="AM48" i="140" s="1"/>
  <c r="AD48" i="140"/>
  <c r="AL48" i="140" s="1"/>
  <c r="AG47" i="140"/>
  <c r="AG63" i="140" s="1"/>
  <c r="G11" i="140" s="1"/>
  <c r="AF47" i="140"/>
  <c r="AE47" i="140"/>
  <c r="AE63" i="140" s="1"/>
  <c r="D11" i="140" s="1"/>
  <c r="D12" i="140" s="1"/>
  <c r="AD47" i="140"/>
  <c r="AD63" i="140" s="1"/>
  <c r="C11" i="140" s="1"/>
  <c r="AD26" i="140"/>
  <c r="AL26" i="140"/>
  <c r="AG40" i="140"/>
  <c r="AO40" i="140" s="1"/>
  <c r="AF40" i="140"/>
  <c r="AN40" i="140" s="1"/>
  <c r="AE40" i="140"/>
  <c r="AM40" i="140" s="1"/>
  <c r="AD40" i="140"/>
  <c r="AL40" i="140" s="1"/>
  <c r="AG39" i="140"/>
  <c r="AO39" i="140" s="1"/>
  <c r="AF39" i="140"/>
  <c r="AN39" i="140" s="1"/>
  <c r="AE39" i="140"/>
  <c r="AM39" i="140" s="1"/>
  <c r="AD39" i="140"/>
  <c r="AL39" i="140" s="1"/>
  <c r="AG38" i="140"/>
  <c r="AO38" i="140" s="1"/>
  <c r="AF38" i="140"/>
  <c r="AN38" i="140" s="1"/>
  <c r="AE38" i="140"/>
  <c r="AM38" i="140" s="1"/>
  <c r="AD38" i="140"/>
  <c r="AL38" i="140" s="1"/>
  <c r="AG37" i="140"/>
  <c r="AO37" i="140" s="1"/>
  <c r="AF37" i="140"/>
  <c r="AN37" i="140" s="1"/>
  <c r="AE37" i="140"/>
  <c r="AM37" i="140" s="1"/>
  <c r="AD37" i="140"/>
  <c r="AL37" i="140" s="1"/>
  <c r="AG36" i="140"/>
  <c r="AO36" i="140" s="1"/>
  <c r="AF36" i="140"/>
  <c r="AN36" i="140" s="1"/>
  <c r="AE36" i="140"/>
  <c r="AM36" i="140" s="1"/>
  <c r="AD36" i="140"/>
  <c r="AL36" i="140" s="1"/>
  <c r="AG35" i="140"/>
  <c r="AO35" i="140" s="1"/>
  <c r="AF35" i="140"/>
  <c r="AN35" i="140" s="1"/>
  <c r="AE35" i="140"/>
  <c r="AM35" i="140" s="1"/>
  <c r="AD35" i="140"/>
  <c r="AL35" i="140" s="1"/>
  <c r="AG34" i="140"/>
  <c r="AO34" i="140" s="1"/>
  <c r="AF34" i="140"/>
  <c r="AN34" i="140" s="1"/>
  <c r="AE34" i="140"/>
  <c r="AM34" i="140" s="1"/>
  <c r="AD34" i="140"/>
  <c r="AL34" i="140" s="1"/>
  <c r="AG33" i="140"/>
  <c r="AO33" i="140" s="1"/>
  <c r="AF33" i="140"/>
  <c r="AN33" i="140" s="1"/>
  <c r="AE33" i="140"/>
  <c r="AM33" i="140" s="1"/>
  <c r="AD33" i="140"/>
  <c r="AL33" i="140" s="1"/>
  <c r="AG32" i="140"/>
  <c r="AO32" i="140" s="1"/>
  <c r="AF32" i="140"/>
  <c r="AN32" i="140" s="1"/>
  <c r="AE32" i="140"/>
  <c r="AM32" i="140" s="1"/>
  <c r="AD32" i="140"/>
  <c r="AL32" i="140" s="1"/>
  <c r="AG31" i="140"/>
  <c r="AO31" i="140" s="1"/>
  <c r="AF31" i="140"/>
  <c r="AN31" i="140" s="1"/>
  <c r="AE31" i="140"/>
  <c r="AM31" i="140" s="1"/>
  <c r="AD31" i="140"/>
  <c r="AL31" i="140" s="1"/>
  <c r="AG30" i="140"/>
  <c r="AO30" i="140" s="1"/>
  <c r="AF30" i="140"/>
  <c r="AN30" i="140" s="1"/>
  <c r="AE30" i="140"/>
  <c r="AM30" i="140" s="1"/>
  <c r="AD30" i="140"/>
  <c r="AL30" i="140" s="1"/>
  <c r="AG29" i="140"/>
  <c r="AO29" i="140" s="1"/>
  <c r="AF29" i="140"/>
  <c r="AN29" i="140" s="1"/>
  <c r="AE29" i="140"/>
  <c r="AM29" i="140" s="1"/>
  <c r="AD29" i="140"/>
  <c r="AL29" i="140" s="1"/>
  <c r="AG28" i="140"/>
  <c r="AO28" i="140" s="1"/>
  <c r="AF28" i="140"/>
  <c r="AN28" i="140" s="1"/>
  <c r="AE28" i="140"/>
  <c r="AM28" i="140" s="1"/>
  <c r="AD28" i="140"/>
  <c r="AL28" i="140" s="1"/>
  <c r="AG27" i="140"/>
  <c r="AO27" i="140" s="1"/>
  <c r="AF27" i="140"/>
  <c r="AN27" i="140" s="1"/>
  <c r="AE27" i="140"/>
  <c r="AM27" i="140" s="1"/>
  <c r="AD27" i="140"/>
  <c r="AL27" i="140" s="1"/>
  <c r="AG26" i="140"/>
  <c r="AG41" i="140" s="1"/>
  <c r="G10" i="140" s="1"/>
  <c r="G12" i="140" s="1"/>
  <c r="AF26" i="140"/>
  <c r="AF41" i="140" s="1"/>
  <c r="F10" i="140" s="1"/>
  <c r="AE26" i="140"/>
  <c r="AE41" i="140" s="1"/>
  <c r="D10" i="140" s="1"/>
  <c r="E107" i="140"/>
  <c r="I106" i="140"/>
  <c r="J106" i="140"/>
  <c r="K106" i="140"/>
  <c r="L106" i="140"/>
  <c r="L105" i="140"/>
  <c r="K105" i="140"/>
  <c r="S105" i="140" s="1"/>
  <c r="J105" i="140"/>
  <c r="R105" i="140" s="1"/>
  <c r="I105" i="140"/>
  <c r="Q105" i="140" s="1"/>
  <c r="L104" i="140"/>
  <c r="T104" i="140" s="1"/>
  <c r="K104" i="140"/>
  <c r="S104" i="140" s="1"/>
  <c r="J104" i="140"/>
  <c r="R104" i="140" s="1"/>
  <c r="I104" i="140"/>
  <c r="Q104" i="140" s="1"/>
  <c r="L103" i="140"/>
  <c r="T103" i="140" s="1"/>
  <c r="K103" i="140"/>
  <c r="S103" i="140" s="1"/>
  <c r="J103" i="140"/>
  <c r="R103" i="140" s="1"/>
  <c r="I103" i="140"/>
  <c r="Q103" i="140" s="1"/>
  <c r="L102" i="140"/>
  <c r="T102" i="140" s="1"/>
  <c r="K102" i="140"/>
  <c r="S102" i="140" s="1"/>
  <c r="J102" i="140"/>
  <c r="R102" i="140" s="1"/>
  <c r="I102" i="140"/>
  <c r="Q102" i="140" s="1"/>
  <c r="L101" i="140"/>
  <c r="T101" i="140" s="1"/>
  <c r="K101" i="140"/>
  <c r="S101" i="140" s="1"/>
  <c r="J101" i="140"/>
  <c r="R101" i="140" s="1"/>
  <c r="I101" i="140"/>
  <c r="Q101" i="140" s="1"/>
  <c r="L100" i="140"/>
  <c r="T100" i="140" s="1"/>
  <c r="K100" i="140"/>
  <c r="S100" i="140" s="1"/>
  <c r="J100" i="140"/>
  <c r="R100" i="140" s="1"/>
  <c r="I100" i="140"/>
  <c r="Q100" i="140" s="1"/>
  <c r="L99" i="140"/>
  <c r="T99" i="140" s="1"/>
  <c r="K99" i="140"/>
  <c r="S99" i="140" s="1"/>
  <c r="J99" i="140"/>
  <c r="R99" i="140" s="1"/>
  <c r="I99" i="140"/>
  <c r="Q99" i="140" s="1"/>
  <c r="L98" i="140"/>
  <c r="K98" i="140"/>
  <c r="S98" i="140" s="1"/>
  <c r="J98" i="140"/>
  <c r="R98" i="140" s="1"/>
  <c r="I98" i="140"/>
  <c r="Q98" i="140" s="1"/>
  <c r="L97" i="140"/>
  <c r="T97" i="140" s="1"/>
  <c r="K97" i="140"/>
  <c r="S97" i="140" s="1"/>
  <c r="J97" i="140"/>
  <c r="R97" i="140" s="1"/>
  <c r="I97" i="140"/>
  <c r="Q97" i="140" s="1"/>
  <c r="L96" i="140"/>
  <c r="T96" i="140" s="1"/>
  <c r="K96" i="140"/>
  <c r="S96" i="140" s="1"/>
  <c r="J96" i="140"/>
  <c r="R96" i="140" s="1"/>
  <c r="I96" i="140"/>
  <c r="Q96" i="140" s="1"/>
  <c r="L95" i="140"/>
  <c r="T95" i="140" s="1"/>
  <c r="K95" i="140"/>
  <c r="S95" i="140" s="1"/>
  <c r="J95" i="140"/>
  <c r="R95" i="140" s="1"/>
  <c r="I95" i="140"/>
  <c r="Q95" i="140" s="1"/>
  <c r="L94" i="140"/>
  <c r="T94" i="140" s="1"/>
  <c r="K94" i="140"/>
  <c r="S94" i="140" s="1"/>
  <c r="J94" i="140"/>
  <c r="R94" i="140" s="1"/>
  <c r="I94" i="140"/>
  <c r="Q94" i="140" s="1"/>
  <c r="L93" i="140"/>
  <c r="T93" i="140" s="1"/>
  <c r="K93" i="140"/>
  <c r="S93" i="140" s="1"/>
  <c r="J93" i="140"/>
  <c r="R93" i="140" s="1"/>
  <c r="I93" i="140"/>
  <c r="Q93" i="140" s="1"/>
  <c r="L92" i="140"/>
  <c r="T92" i="140" s="1"/>
  <c r="K92" i="140"/>
  <c r="S92" i="140" s="1"/>
  <c r="J92" i="140"/>
  <c r="R92" i="140" s="1"/>
  <c r="I92" i="140"/>
  <c r="L91" i="140"/>
  <c r="T91" i="140" s="1"/>
  <c r="K91" i="140"/>
  <c r="S91" i="140" s="1"/>
  <c r="J91" i="140"/>
  <c r="R91" i="140" s="1"/>
  <c r="I91" i="140"/>
  <c r="Q91" i="140" s="1"/>
  <c r="L90" i="140"/>
  <c r="T90" i="140" s="1"/>
  <c r="K90" i="140"/>
  <c r="S90" i="140" s="1"/>
  <c r="J90" i="140"/>
  <c r="I90" i="140"/>
  <c r="Q90" i="140" s="1"/>
  <c r="Q106" i="140"/>
  <c r="R106" i="140"/>
  <c r="S106" i="140"/>
  <c r="T106" i="140"/>
  <c r="T105" i="140"/>
  <c r="T98" i="140"/>
  <c r="Q92" i="140"/>
  <c r="E84" i="140"/>
  <c r="L83" i="140"/>
  <c r="K83" i="140"/>
  <c r="J83" i="140"/>
  <c r="I83" i="140"/>
  <c r="L82" i="140"/>
  <c r="K82" i="140"/>
  <c r="J82" i="140"/>
  <c r="I82" i="140"/>
  <c r="L81" i="140"/>
  <c r="K81" i="140"/>
  <c r="J81" i="140"/>
  <c r="I81" i="140"/>
  <c r="L80" i="140"/>
  <c r="K80" i="140"/>
  <c r="J80" i="140"/>
  <c r="I80" i="140"/>
  <c r="L79" i="140"/>
  <c r="K79" i="140"/>
  <c r="J79" i="140"/>
  <c r="I79" i="140"/>
  <c r="L78" i="140"/>
  <c r="K78" i="140"/>
  <c r="J78" i="140"/>
  <c r="I78" i="140"/>
  <c r="L77" i="140"/>
  <c r="K77" i="140"/>
  <c r="J77" i="140"/>
  <c r="I77" i="140"/>
  <c r="L76" i="140"/>
  <c r="K76" i="140"/>
  <c r="J76" i="140"/>
  <c r="I76" i="140"/>
  <c r="L75" i="140"/>
  <c r="K75" i="140"/>
  <c r="J75" i="140"/>
  <c r="I75" i="140"/>
  <c r="L74" i="140"/>
  <c r="K74" i="140"/>
  <c r="J74" i="140"/>
  <c r="I74" i="140"/>
  <c r="L73" i="140"/>
  <c r="K73" i="140"/>
  <c r="J73" i="140"/>
  <c r="I73" i="140"/>
  <c r="L72" i="140"/>
  <c r="K72" i="140"/>
  <c r="J72" i="140"/>
  <c r="I72" i="140"/>
  <c r="L71" i="140"/>
  <c r="K71" i="140"/>
  <c r="J71" i="140"/>
  <c r="I71" i="140"/>
  <c r="L70" i="140"/>
  <c r="K70" i="140"/>
  <c r="J70" i="140"/>
  <c r="I70" i="140"/>
  <c r="L69" i="140"/>
  <c r="L84" i="140" s="1"/>
  <c r="G7" i="140" s="1"/>
  <c r="K69" i="140"/>
  <c r="K84" i="140" s="1"/>
  <c r="F7" i="140" s="1"/>
  <c r="J69" i="140"/>
  <c r="J84" i="140" s="1"/>
  <c r="D7" i="140" s="1"/>
  <c r="I69" i="140"/>
  <c r="I84" i="140" s="1"/>
  <c r="C7" i="140" s="1"/>
  <c r="E7" i="140" s="1"/>
  <c r="T83" i="140"/>
  <c r="S83" i="140"/>
  <c r="R83" i="140"/>
  <c r="Q83" i="140"/>
  <c r="T82" i="140"/>
  <c r="S82" i="140"/>
  <c r="R82" i="140"/>
  <c r="Q82" i="140"/>
  <c r="T81" i="140"/>
  <c r="S81" i="140"/>
  <c r="R81" i="140"/>
  <c r="Q81" i="140"/>
  <c r="T80" i="140"/>
  <c r="S80" i="140"/>
  <c r="R80" i="140"/>
  <c r="Q80" i="140"/>
  <c r="T79" i="140"/>
  <c r="S79" i="140"/>
  <c r="R79" i="140"/>
  <c r="Q79" i="140"/>
  <c r="T78" i="140"/>
  <c r="S78" i="140"/>
  <c r="R78" i="140"/>
  <c r="Q78" i="140"/>
  <c r="T77" i="140"/>
  <c r="S77" i="140"/>
  <c r="R77" i="140"/>
  <c r="Q77" i="140"/>
  <c r="T76" i="140"/>
  <c r="S76" i="140"/>
  <c r="R76" i="140"/>
  <c r="Q76" i="140"/>
  <c r="T75" i="140"/>
  <c r="S75" i="140"/>
  <c r="R75" i="140"/>
  <c r="Q75" i="140"/>
  <c r="T74" i="140"/>
  <c r="S74" i="140"/>
  <c r="R74" i="140"/>
  <c r="Q74" i="140"/>
  <c r="T73" i="140"/>
  <c r="S73" i="140"/>
  <c r="R73" i="140"/>
  <c r="Q73" i="140"/>
  <c r="T72" i="140"/>
  <c r="S72" i="140"/>
  <c r="R72" i="140"/>
  <c r="Q72" i="140"/>
  <c r="T71" i="140"/>
  <c r="S71" i="140"/>
  <c r="R71" i="140"/>
  <c r="Q71" i="140"/>
  <c r="T70" i="140"/>
  <c r="S70" i="140"/>
  <c r="R70" i="140"/>
  <c r="Q70" i="140"/>
  <c r="T69" i="140"/>
  <c r="S69" i="140"/>
  <c r="S84" i="140" s="1"/>
  <c r="L7" i="140" s="1"/>
  <c r="R69" i="140"/>
  <c r="R84" i="140" s="1"/>
  <c r="J7" i="140" s="1"/>
  <c r="Q69" i="140"/>
  <c r="Q84" i="140" s="1"/>
  <c r="I7" i="140" s="1"/>
  <c r="T84" i="140"/>
  <c r="M7" i="140" s="1"/>
  <c r="Q47" i="140"/>
  <c r="I62" i="140"/>
  <c r="J62" i="140"/>
  <c r="R62" i="140" s="1"/>
  <c r="K62" i="140"/>
  <c r="S62" i="140" s="1"/>
  <c r="L62" i="140"/>
  <c r="T62" i="140" s="1"/>
  <c r="K47" i="140"/>
  <c r="J47" i="140"/>
  <c r="R47" i="140" s="1"/>
  <c r="I47" i="140"/>
  <c r="L61" i="140"/>
  <c r="T61" i="140" s="1"/>
  <c r="K61" i="140"/>
  <c r="S61" i="140" s="1"/>
  <c r="J61" i="140"/>
  <c r="R61" i="140" s="1"/>
  <c r="I61" i="140"/>
  <c r="Q61" i="140" s="1"/>
  <c r="L60" i="140"/>
  <c r="T60" i="140" s="1"/>
  <c r="K60" i="140"/>
  <c r="S60" i="140" s="1"/>
  <c r="J60" i="140"/>
  <c r="R60" i="140" s="1"/>
  <c r="I60" i="140"/>
  <c r="Q60" i="140" s="1"/>
  <c r="L59" i="140"/>
  <c r="T59" i="140" s="1"/>
  <c r="K59" i="140"/>
  <c r="S59" i="140" s="1"/>
  <c r="J59" i="140"/>
  <c r="R59" i="140" s="1"/>
  <c r="I59" i="140"/>
  <c r="Q59" i="140" s="1"/>
  <c r="L58" i="140"/>
  <c r="T58" i="140" s="1"/>
  <c r="K58" i="140"/>
  <c r="S58" i="140" s="1"/>
  <c r="J58" i="140"/>
  <c r="R58" i="140" s="1"/>
  <c r="I58" i="140"/>
  <c r="Q58" i="140" s="1"/>
  <c r="L57" i="140"/>
  <c r="T57" i="140" s="1"/>
  <c r="K57" i="140"/>
  <c r="S57" i="140" s="1"/>
  <c r="J57" i="140"/>
  <c r="R57" i="140" s="1"/>
  <c r="I57" i="140"/>
  <c r="Q57" i="140" s="1"/>
  <c r="L56" i="140"/>
  <c r="T56" i="140" s="1"/>
  <c r="K56" i="140"/>
  <c r="S56" i="140" s="1"/>
  <c r="J56" i="140"/>
  <c r="R56" i="140" s="1"/>
  <c r="I56" i="140"/>
  <c r="Q56" i="140" s="1"/>
  <c r="L55" i="140"/>
  <c r="T55" i="140" s="1"/>
  <c r="K55" i="140"/>
  <c r="S55" i="140" s="1"/>
  <c r="J55" i="140"/>
  <c r="R55" i="140" s="1"/>
  <c r="I55" i="140"/>
  <c r="Q55" i="140" s="1"/>
  <c r="L54" i="140"/>
  <c r="T54" i="140" s="1"/>
  <c r="K54" i="140"/>
  <c r="S54" i="140" s="1"/>
  <c r="J54" i="140"/>
  <c r="R54" i="140" s="1"/>
  <c r="I54" i="140"/>
  <c r="Q54" i="140" s="1"/>
  <c r="L53" i="140"/>
  <c r="T53" i="140" s="1"/>
  <c r="K53" i="140"/>
  <c r="S53" i="140" s="1"/>
  <c r="J53" i="140"/>
  <c r="R53" i="140" s="1"/>
  <c r="I53" i="140"/>
  <c r="Q53" i="140" s="1"/>
  <c r="L52" i="140"/>
  <c r="T52" i="140" s="1"/>
  <c r="K52" i="140"/>
  <c r="S52" i="140" s="1"/>
  <c r="J52" i="140"/>
  <c r="R52" i="140" s="1"/>
  <c r="I52" i="140"/>
  <c r="Q52" i="140" s="1"/>
  <c r="L51" i="140"/>
  <c r="T51" i="140" s="1"/>
  <c r="K51" i="140"/>
  <c r="S51" i="140" s="1"/>
  <c r="J51" i="140"/>
  <c r="R51" i="140" s="1"/>
  <c r="I51" i="140"/>
  <c r="Q51" i="140" s="1"/>
  <c r="L50" i="140"/>
  <c r="T50" i="140" s="1"/>
  <c r="K50" i="140"/>
  <c r="S50" i="140" s="1"/>
  <c r="J50" i="140"/>
  <c r="R50" i="140" s="1"/>
  <c r="I50" i="140"/>
  <c r="Q50" i="140" s="1"/>
  <c r="L49" i="140"/>
  <c r="T49" i="140" s="1"/>
  <c r="K49" i="140"/>
  <c r="S49" i="140" s="1"/>
  <c r="J49" i="140"/>
  <c r="R49" i="140" s="1"/>
  <c r="I49" i="140"/>
  <c r="Q49" i="140" s="1"/>
  <c r="L48" i="140"/>
  <c r="T48" i="140" s="1"/>
  <c r="K48" i="140"/>
  <c r="S48" i="140" s="1"/>
  <c r="J48" i="140"/>
  <c r="R48" i="140" s="1"/>
  <c r="I48" i="140"/>
  <c r="Q48" i="140" s="1"/>
  <c r="L47" i="140"/>
  <c r="L63" i="140" s="1"/>
  <c r="G5" i="140" s="1"/>
  <c r="R32" i="140"/>
  <c r="K27" i="140"/>
  <c r="S27" i="140" s="1"/>
  <c r="L27" i="140"/>
  <c r="T27" i="140" s="1"/>
  <c r="K28" i="140"/>
  <c r="S28" i="140" s="1"/>
  <c r="L28" i="140"/>
  <c r="T28" i="140" s="1"/>
  <c r="K29" i="140"/>
  <c r="S29" i="140" s="1"/>
  <c r="L29" i="140"/>
  <c r="T29" i="140" s="1"/>
  <c r="K30" i="140"/>
  <c r="S30" i="140" s="1"/>
  <c r="L30" i="140"/>
  <c r="T30" i="140" s="1"/>
  <c r="K31" i="140"/>
  <c r="S31" i="140" s="1"/>
  <c r="L31" i="140"/>
  <c r="T31" i="140" s="1"/>
  <c r="K32" i="140"/>
  <c r="S32" i="140" s="1"/>
  <c r="L32" i="140"/>
  <c r="T32" i="140" s="1"/>
  <c r="K33" i="140"/>
  <c r="S33" i="140" s="1"/>
  <c r="L33" i="140"/>
  <c r="T33" i="140" s="1"/>
  <c r="K34" i="140"/>
  <c r="S34" i="140" s="1"/>
  <c r="L34" i="140"/>
  <c r="T34" i="140" s="1"/>
  <c r="K35" i="140"/>
  <c r="S35" i="140" s="1"/>
  <c r="L35" i="140"/>
  <c r="T35" i="140" s="1"/>
  <c r="K36" i="140"/>
  <c r="S36" i="140" s="1"/>
  <c r="L36" i="140"/>
  <c r="T36" i="140" s="1"/>
  <c r="K37" i="140"/>
  <c r="S37" i="140" s="1"/>
  <c r="L37" i="140"/>
  <c r="T37" i="140" s="1"/>
  <c r="K38" i="140"/>
  <c r="S38" i="140" s="1"/>
  <c r="L38" i="140"/>
  <c r="T38" i="140" s="1"/>
  <c r="K39" i="140"/>
  <c r="S39" i="140" s="1"/>
  <c r="L39" i="140"/>
  <c r="T39" i="140" s="1"/>
  <c r="K40" i="140"/>
  <c r="S40" i="140" s="1"/>
  <c r="L40" i="140"/>
  <c r="T40" i="140" s="1"/>
  <c r="L26" i="140"/>
  <c r="T26" i="140" s="1"/>
  <c r="K26" i="140"/>
  <c r="S26" i="140" s="1"/>
  <c r="I27" i="140"/>
  <c r="Q27" i="140" s="1"/>
  <c r="J27" i="140"/>
  <c r="R27" i="140" s="1"/>
  <c r="I28" i="140"/>
  <c r="Q28" i="140" s="1"/>
  <c r="J28" i="140"/>
  <c r="R28" i="140" s="1"/>
  <c r="I29" i="140"/>
  <c r="Q29" i="140" s="1"/>
  <c r="J29" i="140"/>
  <c r="R29" i="140" s="1"/>
  <c r="I30" i="140"/>
  <c r="Q30" i="140" s="1"/>
  <c r="J30" i="140"/>
  <c r="R30" i="140" s="1"/>
  <c r="I31" i="140"/>
  <c r="Q31" i="140" s="1"/>
  <c r="J31" i="140"/>
  <c r="R31" i="140" s="1"/>
  <c r="I32" i="140"/>
  <c r="Q32" i="140" s="1"/>
  <c r="J32" i="140"/>
  <c r="I33" i="140"/>
  <c r="Q33" i="140" s="1"/>
  <c r="J33" i="140"/>
  <c r="R33" i="140" s="1"/>
  <c r="I34" i="140"/>
  <c r="Q34" i="140" s="1"/>
  <c r="J34" i="140"/>
  <c r="R34" i="140" s="1"/>
  <c r="I35" i="140"/>
  <c r="Q35" i="140" s="1"/>
  <c r="J35" i="140"/>
  <c r="R35" i="140" s="1"/>
  <c r="I36" i="140"/>
  <c r="Q36" i="140" s="1"/>
  <c r="J36" i="140"/>
  <c r="R36" i="140" s="1"/>
  <c r="I37" i="140"/>
  <c r="Q37" i="140" s="1"/>
  <c r="J37" i="140"/>
  <c r="R37" i="140" s="1"/>
  <c r="I38" i="140"/>
  <c r="Q38" i="140" s="1"/>
  <c r="J38" i="140"/>
  <c r="R38" i="140" s="1"/>
  <c r="I39" i="140"/>
  <c r="Q39" i="140" s="1"/>
  <c r="J39" i="140"/>
  <c r="R39" i="140" s="1"/>
  <c r="I40" i="140"/>
  <c r="Q40" i="140" s="1"/>
  <c r="J40" i="140"/>
  <c r="R40" i="140" s="1"/>
  <c r="J26" i="140"/>
  <c r="I26" i="140"/>
  <c r="AA107" i="140"/>
  <c r="Z107" i="140"/>
  <c r="F107" i="140"/>
  <c r="AA84" i="140"/>
  <c r="Z84" i="140"/>
  <c r="F84" i="140"/>
  <c r="AA63" i="140"/>
  <c r="Z63" i="140"/>
  <c r="F63" i="140"/>
  <c r="E63" i="140"/>
  <c r="AA41" i="140"/>
  <c r="Z41" i="140"/>
  <c r="F41" i="140"/>
  <c r="E41" i="140"/>
  <c r="H7" i="140" l="1"/>
  <c r="E11" i="140"/>
  <c r="H10" i="140"/>
  <c r="I9" i="140"/>
  <c r="E13" i="140"/>
  <c r="E15" i="140" s="1"/>
  <c r="N7" i="140"/>
  <c r="K7" i="140"/>
  <c r="I63" i="140"/>
  <c r="C5" i="140" s="1"/>
  <c r="Q107" i="140"/>
  <c r="I8" i="140" s="1"/>
  <c r="AD41" i="140"/>
  <c r="C10" i="140" s="1"/>
  <c r="L107" i="140"/>
  <c r="G8" i="140" s="1"/>
  <c r="G9" i="140" s="1"/>
  <c r="I107" i="140"/>
  <c r="C8" i="140" s="1"/>
  <c r="C9" i="140" s="1"/>
  <c r="K107" i="140"/>
  <c r="F8" i="140" s="1"/>
  <c r="AO47" i="140"/>
  <c r="AO63" i="140" s="1"/>
  <c r="M11" i="140" s="1"/>
  <c r="AO69" i="140"/>
  <c r="AO84" i="140" s="1"/>
  <c r="M13" i="140" s="1"/>
  <c r="AN90" i="140"/>
  <c r="AN107" i="140" s="1"/>
  <c r="L14" i="140" s="1"/>
  <c r="I41" i="140"/>
  <c r="C4" i="140" s="1"/>
  <c r="AO90" i="140"/>
  <c r="AO107" i="140" s="1"/>
  <c r="M14" i="140" s="1"/>
  <c r="J107" i="140"/>
  <c r="D8" i="140" s="1"/>
  <c r="D9" i="140" s="1"/>
  <c r="R90" i="140"/>
  <c r="R107" i="140" s="1"/>
  <c r="J8" i="140" s="1"/>
  <c r="AO26" i="140"/>
  <c r="AO41" i="140" s="1"/>
  <c r="M10" i="140" s="1"/>
  <c r="AL41" i="140"/>
  <c r="I10" i="140" s="1"/>
  <c r="AF63" i="140"/>
  <c r="F11" i="140" s="1"/>
  <c r="H11" i="140" s="1"/>
  <c r="AN47" i="140"/>
  <c r="AN63" i="140" s="1"/>
  <c r="L11" i="140" s="1"/>
  <c r="AF84" i="140"/>
  <c r="F13" i="140" s="1"/>
  <c r="AN69" i="140"/>
  <c r="AN84" i="140" s="1"/>
  <c r="L13" i="140" s="1"/>
  <c r="K63" i="140"/>
  <c r="H5" i="140" s="1"/>
  <c r="AM26" i="140"/>
  <c r="AM41" i="140" s="1"/>
  <c r="J10" i="140" s="1"/>
  <c r="AL47" i="140"/>
  <c r="AL63" i="140" s="1"/>
  <c r="I11" i="140" s="1"/>
  <c r="AL69" i="140"/>
  <c r="AL84" i="140" s="1"/>
  <c r="I13" i="140" s="1"/>
  <c r="J41" i="140"/>
  <c r="D4" i="140" s="1"/>
  <c r="Q62" i="140"/>
  <c r="Q63" i="140" s="1"/>
  <c r="I5" i="140" s="1"/>
  <c r="T47" i="140"/>
  <c r="T63" i="140" s="1"/>
  <c r="M5" i="140" s="1"/>
  <c r="AN26" i="140"/>
  <c r="AN41" i="140" s="1"/>
  <c r="L10" i="140" s="1"/>
  <c r="AL90" i="140"/>
  <c r="AL107" i="140" s="1"/>
  <c r="I14" i="140" s="1"/>
  <c r="AM47" i="140"/>
  <c r="AM63" i="140" s="1"/>
  <c r="J11" i="140" s="1"/>
  <c r="AM69" i="140"/>
  <c r="AM84" i="140" s="1"/>
  <c r="J13" i="140" s="1"/>
  <c r="AM90" i="140"/>
  <c r="AM107" i="140" s="1"/>
  <c r="J14" i="140" s="1"/>
  <c r="R63" i="140"/>
  <c r="J5" i="140" s="1"/>
  <c r="S107" i="140"/>
  <c r="L8" i="140" s="1"/>
  <c r="Q26" i="140"/>
  <c r="Q41" i="140" s="1"/>
  <c r="I4" i="140" s="1"/>
  <c r="T41" i="140"/>
  <c r="M4" i="140" s="1"/>
  <c r="K41" i="140"/>
  <c r="F4" i="140" s="1"/>
  <c r="J63" i="140"/>
  <c r="D5" i="140" s="1"/>
  <c r="T107" i="140"/>
  <c r="M8" i="140" s="1"/>
  <c r="R26" i="140"/>
  <c r="R41" i="140" s="1"/>
  <c r="J4" i="140" s="1"/>
  <c r="S41" i="140"/>
  <c r="L4" i="140" s="1"/>
  <c r="L41" i="140"/>
  <c r="G4" i="140" s="1"/>
  <c r="G6" i="140" s="1"/>
  <c r="S47" i="140"/>
  <c r="S63" i="140" s="1"/>
  <c r="L5" i="140" s="1"/>
  <c r="E47" i="109"/>
  <c r="F12" i="140" l="1"/>
  <c r="J9" i="140"/>
  <c r="H12" i="140"/>
  <c r="M15" i="140"/>
  <c r="N5" i="140"/>
  <c r="I6" i="140"/>
  <c r="K4" i="140"/>
  <c r="J15" i="140"/>
  <c r="K11" i="140"/>
  <c r="L15" i="140"/>
  <c r="N13" i="140"/>
  <c r="K10" i="140"/>
  <c r="I12" i="140"/>
  <c r="L9" i="140"/>
  <c r="N8" i="140"/>
  <c r="K5" i="140"/>
  <c r="J12" i="140"/>
  <c r="F15" i="140"/>
  <c r="H13" i="140"/>
  <c r="H15" i="140" s="1"/>
  <c r="M12" i="140"/>
  <c r="E10" i="140"/>
  <c r="E12" i="140" s="1"/>
  <c r="C12" i="140"/>
  <c r="M9" i="140"/>
  <c r="N4" i="140"/>
  <c r="L6" i="140"/>
  <c r="F6" i="140"/>
  <c r="H4" i="140"/>
  <c r="H6" i="140" s="1"/>
  <c r="K14" i="140"/>
  <c r="D6" i="140"/>
  <c r="N11" i="140"/>
  <c r="N14" i="140"/>
  <c r="C6" i="140"/>
  <c r="E4" i="140"/>
  <c r="E6" i="140" s="1"/>
  <c r="H8" i="140"/>
  <c r="H9" i="140" s="1"/>
  <c r="K8" i="140"/>
  <c r="F9" i="140"/>
  <c r="J6" i="140"/>
  <c r="M6" i="140"/>
  <c r="N10" i="140"/>
  <c r="L12" i="140"/>
  <c r="I15" i="140"/>
  <c r="K13" i="140"/>
  <c r="E8" i="140"/>
  <c r="E9" i="140" s="1"/>
  <c r="E5" i="140"/>
  <c r="N9" i="140"/>
  <c r="K15" i="140" l="1"/>
  <c r="AT10" i="140" s="1"/>
  <c r="N15" i="140"/>
  <c r="AT11" i="140" s="1"/>
  <c r="N12" i="140"/>
  <c r="AT7" i="140" s="1"/>
  <c r="N6" i="140"/>
  <c r="K12" i="140"/>
  <c r="AT6" i="140" s="1"/>
  <c r="K9" i="140"/>
  <c r="K6" i="140"/>
  <c r="AT8" i="140" l="1"/>
  <c r="Y11" i="140"/>
  <c r="AA11" i="140" s="1"/>
  <c r="AB11" i="140" s="1"/>
  <c r="AU11" i="140"/>
  <c r="AV11" i="140" s="1"/>
  <c r="F19" i="141" s="1"/>
  <c r="AT12" i="140"/>
  <c r="AU7" i="140"/>
  <c r="AV7" i="140" s="1"/>
  <c r="F12" i="141" s="1"/>
  <c r="G12" i="141" s="1"/>
  <c r="AB12" i="142" s="1"/>
  <c r="D16" i="141"/>
  <c r="D9" i="141"/>
  <c r="E9" i="141" s="1"/>
  <c r="H9" i="142" s="1"/>
  <c r="F16" i="141"/>
  <c r="F9" i="141"/>
  <c r="G9" i="141" s="1"/>
  <c r="AB9" i="142" s="1"/>
  <c r="Z12" i="140"/>
  <c r="Y7" i="140"/>
  <c r="AA7" i="140" s="1"/>
  <c r="AB7" i="140" s="1"/>
  <c r="Y10" i="140"/>
  <c r="AA10" i="140" s="1"/>
  <c r="Y6" i="140"/>
  <c r="AA6" i="140" s="1"/>
  <c r="G17" i="135"/>
  <c r="G30" i="135" s="1"/>
  <c r="G16" i="135"/>
  <c r="G29" i="135" s="1"/>
  <c r="G15" i="135"/>
  <c r="G28" i="135" s="1"/>
  <c r="E17" i="135"/>
  <c r="E30" i="135" s="1"/>
  <c r="E16" i="135"/>
  <c r="E29" i="135" s="1"/>
  <c r="E15" i="135"/>
  <c r="E28" i="135" s="1"/>
  <c r="C6" i="114"/>
  <c r="AA8" i="140" l="1"/>
  <c r="G19" i="141"/>
  <c r="F26" i="141"/>
  <c r="AA12" i="140"/>
  <c r="AB10" i="140"/>
  <c r="D19" i="141"/>
  <c r="AC11" i="140"/>
  <c r="AD11" i="140" s="1"/>
  <c r="AE11" i="140" s="1"/>
  <c r="AF11" i="140" s="1"/>
  <c r="AG11" i="140" s="1"/>
  <c r="AH11" i="140" s="1"/>
  <c r="AI11" i="140" s="1"/>
  <c r="AJ11" i="140" s="1"/>
  <c r="AK11" i="140" s="1"/>
  <c r="AL11" i="140" s="1"/>
  <c r="AM11" i="140" s="1"/>
  <c r="AN11" i="140" s="1"/>
  <c r="AO11" i="140" s="1"/>
  <c r="AP11" i="140" s="1"/>
  <c r="AQ11" i="140" s="1"/>
  <c r="AR11" i="140" s="1"/>
  <c r="AS11" i="140" s="1"/>
  <c r="AC7" i="140"/>
  <c r="AD7" i="140" s="1"/>
  <c r="AE7" i="140" s="1"/>
  <c r="AF7" i="140" s="1"/>
  <c r="AG7" i="140" s="1"/>
  <c r="AH7" i="140" s="1"/>
  <c r="AI7" i="140" s="1"/>
  <c r="AJ7" i="140" s="1"/>
  <c r="AK7" i="140" s="1"/>
  <c r="AL7" i="140" s="1"/>
  <c r="AM7" i="140" s="1"/>
  <c r="AN7" i="140" s="1"/>
  <c r="AO7" i="140" s="1"/>
  <c r="AP7" i="140" s="1"/>
  <c r="AQ7" i="140" s="1"/>
  <c r="AR7" i="140" s="1"/>
  <c r="AS7" i="140" s="1"/>
  <c r="D12" i="141"/>
  <c r="E12" i="141" s="1"/>
  <c r="H12" i="142" s="1"/>
  <c r="E12" i="142" s="1"/>
  <c r="I12" i="142" s="1"/>
  <c r="J12" i="142" s="1"/>
  <c r="K12" i="142" s="1"/>
  <c r="L12" i="142" s="1"/>
  <c r="M12" i="142" s="1"/>
  <c r="N12" i="142" s="1"/>
  <c r="O12" i="142" s="1"/>
  <c r="P12" i="142" s="1"/>
  <c r="Q12" i="142" s="1"/>
  <c r="R12" i="142" s="1"/>
  <c r="S12" i="142" s="1"/>
  <c r="T12" i="142" s="1"/>
  <c r="U12" i="142" s="1"/>
  <c r="V12" i="142" s="1"/>
  <c r="W12" i="142" s="1"/>
  <c r="X12" i="142" s="1"/>
  <c r="Y12" i="142" s="1"/>
  <c r="Z12" i="142" s="1"/>
  <c r="AA12" i="142" s="1"/>
  <c r="AU10" i="140"/>
  <c r="AU6" i="140"/>
  <c r="J9" i="135"/>
  <c r="E16" i="141"/>
  <c r="D23" i="141"/>
  <c r="E9" i="142"/>
  <c r="I9" i="142" s="1"/>
  <c r="AD9" i="135"/>
  <c r="G16" i="141"/>
  <c r="F23" i="141"/>
  <c r="I56" i="19"/>
  <c r="I55" i="19"/>
  <c r="D33" i="19"/>
  <c r="D34" i="19"/>
  <c r="D35" i="19"/>
  <c r="D36" i="19"/>
  <c r="D37" i="19"/>
  <c r="D38" i="19"/>
  <c r="D32" i="19"/>
  <c r="I20" i="19"/>
  <c r="I21" i="19"/>
  <c r="I22" i="19"/>
  <c r="I23" i="19"/>
  <c r="I24" i="19"/>
  <c r="I25" i="19"/>
  <c r="I26" i="19"/>
  <c r="I19" i="19"/>
  <c r="N22" i="19"/>
  <c r="F31" i="19"/>
  <c r="F32" i="19"/>
  <c r="E37" i="6"/>
  <c r="D32" i="6"/>
  <c r="E36" i="6"/>
  <c r="D31" i="6"/>
  <c r="J51" i="6"/>
  <c r="J50" i="6"/>
  <c r="P49" i="6"/>
  <c r="AV10" i="140" l="1"/>
  <c r="AU12" i="140"/>
  <c r="E19" i="141"/>
  <c r="D26" i="141"/>
  <c r="AB19" i="142"/>
  <c r="G26" i="141"/>
  <c r="AB26" i="142" s="1"/>
  <c r="AC10" i="140"/>
  <c r="AB12" i="140"/>
  <c r="D18" i="141"/>
  <c r="AV6" i="140"/>
  <c r="AU8" i="140"/>
  <c r="AC6" i="140"/>
  <c r="D11" i="141"/>
  <c r="AB8" i="140"/>
  <c r="J9" i="142"/>
  <c r="K9" i="135"/>
  <c r="AB16" i="142"/>
  <c r="G23" i="141"/>
  <c r="AB23" i="142" s="1"/>
  <c r="E23" i="141"/>
  <c r="H23" i="142" s="1"/>
  <c r="H16" i="142"/>
  <c r="J22" i="135" s="1"/>
  <c r="F21" i="134"/>
  <c r="F20" i="134"/>
  <c r="D21" i="134"/>
  <c r="D20" i="134"/>
  <c r="D17" i="134"/>
  <c r="D16" i="134"/>
  <c r="AD6" i="140" l="1"/>
  <c r="AC8" i="140"/>
  <c r="AD10" i="140"/>
  <c r="AC12" i="140"/>
  <c r="H19" i="142"/>
  <c r="E26" i="141"/>
  <c r="H26" i="142" s="1"/>
  <c r="F11" i="141"/>
  <c r="AV8" i="140"/>
  <c r="AB9" i="136"/>
  <c r="E26" i="142"/>
  <c r="I26" i="142" s="1"/>
  <c r="AB9" i="134"/>
  <c r="E11" i="141"/>
  <c r="D13" i="141"/>
  <c r="E18" i="141"/>
  <c r="D20" i="141"/>
  <c r="D27" i="141" s="1"/>
  <c r="D25" i="141"/>
  <c r="E19" i="142"/>
  <c r="I19" i="142" s="1"/>
  <c r="J19" i="142" s="1"/>
  <c r="K19" i="142" s="1"/>
  <c r="L19" i="142" s="1"/>
  <c r="M19" i="142" s="1"/>
  <c r="N19" i="142" s="1"/>
  <c r="O19" i="142" s="1"/>
  <c r="P19" i="142" s="1"/>
  <c r="Q19" i="142" s="1"/>
  <c r="R19" i="142" s="1"/>
  <c r="S19" i="142" s="1"/>
  <c r="T19" i="142" s="1"/>
  <c r="U19" i="142" s="1"/>
  <c r="V19" i="142" s="1"/>
  <c r="W19" i="142" s="1"/>
  <c r="X19" i="142" s="1"/>
  <c r="Y19" i="142" s="1"/>
  <c r="Z19" i="142" s="1"/>
  <c r="AA19" i="142" s="1"/>
  <c r="F18" i="141"/>
  <c r="AV12" i="140"/>
  <c r="E23" i="142"/>
  <c r="I23" i="142" s="1"/>
  <c r="J23" i="142" s="1"/>
  <c r="K23" i="142" s="1"/>
  <c r="L23" i="142" s="1"/>
  <c r="M23" i="142" s="1"/>
  <c r="N23" i="142" s="1"/>
  <c r="O23" i="142" s="1"/>
  <c r="P23" i="142" s="1"/>
  <c r="Q23" i="142" s="1"/>
  <c r="R23" i="142" s="1"/>
  <c r="S23" i="142" s="1"/>
  <c r="T23" i="142" s="1"/>
  <c r="U23" i="142" s="1"/>
  <c r="V23" i="142" s="1"/>
  <c r="W23" i="142" s="1"/>
  <c r="X23" i="142" s="1"/>
  <c r="Y23" i="142" s="1"/>
  <c r="Z23" i="142" s="1"/>
  <c r="AA23" i="142" s="1"/>
  <c r="AD22" i="135"/>
  <c r="E16" i="142"/>
  <c r="I16" i="142" s="1"/>
  <c r="D15" i="141"/>
  <c r="D8" i="141"/>
  <c r="L9" i="135"/>
  <c r="K9" i="142"/>
  <c r="C5" i="122"/>
  <c r="H11" i="142" l="1"/>
  <c r="E13" i="141"/>
  <c r="H13" i="142" s="1"/>
  <c r="G11" i="141"/>
  <c r="F13" i="141"/>
  <c r="AE10" i="140"/>
  <c r="AD12" i="140"/>
  <c r="G18" i="141"/>
  <c r="F20" i="141"/>
  <c r="F27" i="141" s="1"/>
  <c r="F25" i="141"/>
  <c r="H18" i="142"/>
  <c r="E20" i="141"/>
  <c r="E25" i="141"/>
  <c r="H25" i="142" s="1"/>
  <c r="J26" i="142"/>
  <c r="I9" i="136"/>
  <c r="I9" i="134"/>
  <c r="H9" i="136"/>
  <c r="H9" i="134"/>
  <c r="AE6" i="140"/>
  <c r="AD8" i="140"/>
  <c r="L9" i="142"/>
  <c r="M9" i="135"/>
  <c r="D10" i="141"/>
  <c r="E8" i="141"/>
  <c r="D22" i="141"/>
  <c r="D17" i="141"/>
  <c r="E15" i="141"/>
  <c r="F15" i="141"/>
  <c r="F8" i="141"/>
  <c r="J16" i="142"/>
  <c r="K22" i="135"/>
  <c r="X8" i="121"/>
  <c r="X7" i="121"/>
  <c r="X6" i="121"/>
  <c r="H8" i="134" l="1"/>
  <c r="H8" i="136"/>
  <c r="H20" i="142"/>
  <c r="E27" i="141"/>
  <c r="H27" i="142" s="1"/>
  <c r="AB18" i="142"/>
  <c r="E18" i="142" s="1"/>
  <c r="I18" i="142" s="1"/>
  <c r="J18" i="142" s="1"/>
  <c r="K18" i="142" s="1"/>
  <c r="L18" i="142" s="1"/>
  <c r="M18" i="142" s="1"/>
  <c r="N18" i="142" s="1"/>
  <c r="O18" i="142" s="1"/>
  <c r="P18" i="142" s="1"/>
  <c r="Q18" i="142" s="1"/>
  <c r="R18" i="142" s="1"/>
  <c r="S18" i="142" s="1"/>
  <c r="T18" i="142" s="1"/>
  <c r="U18" i="142" s="1"/>
  <c r="V18" i="142" s="1"/>
  <c r="W18" i="142" s="1"/>
  <c r="X18" i="142" s="1"/>
  <c r="Y18" i="142" s="1"/>
  <c r="Z18" i="142" s="1"/>
  <c r="AA18" i="142" s="1"/>
  <c r="G25" i="141"/>
  <c r="AB25" i="142" s="1"/>
  <c r="G20" i="141"/>
  <c r="AB11" i="142"/>
  <c r="E11" i="142" s="1"/>
  <c r="I11" i="142" s="1"/>
  <c r="J11" i="142" s="1"/>
  <c r="K11" i="142" s="1"/>
  <c r="L11" i="142" s="1"/>
  <c r="M11" i="142" s="1"/>
  <c r="N11" i="142" s="1"/>
  <c r="O11" i="142" s="1"/>
  <c r="P11" i="142" s="1"/>
  <c r="Q11" i="142" s="1"/>
  <c r="R11" i="142" s="1"/>
  <c r="S11" i="142" s="1"/>
  <c r="T11" i="142" s="1"/>
  <c r="U11" i="142" s="1"/>
  <c r="V11" i="142" s="1"/>
  <c r="W11" i="142" s="1"/>
  <c r="X11" i="142" s="1"/>
  <c r="Y11" i="142" s="1"/>
  <c r="Z11" i="142" s="1"/>
  <c r="AA11" i="142" s="1"/>
  <c r="G13" i="141"/>
  <c r="AB13" i="142" s="1"/>
  <c r="E13" i="142" s="1"/>
  <c r="I13" i="142" s="1"/>
  <c r="J13" i="142" s="1"/>
  <c r="K13" i="142" s="1"/>
  <c r="L13" i="142" s="1"/>
  <c r="M13" i="142" s="1"/>
  <c r="N13" i="142" s="1"/>
  <c r="O13" i="142" s="1"/>
  <c r="P13" i="142" s="1"/>
  <c r="Q13" i="142" s="1"/>
  <c r="R13" i="142" s="1"/>
  <c r="S13" i="142" s="1"/>
  <c r="T13" i="142" s="1"/>
  <c r="U13" i="142" s="1"/>
  <c r="V13" i="142" s="1"/>
  <c r="W13" i="142" s="1"/>
  <c r="X13" i="142" s="1"/>
  <c r="Y13" i="142" s="1"/>
  <c r="Z13" i="142" s="1"/>
  <c r="AA13" i="142" s="1"/>
  <c r="AF6" i="140"/>
  <c r="AE8" i="140"/>
  <c r="J9" i="134"/>
  <c r="K26" i="142"/>
  <c r="J9" i="136"/>
  <c r="AF10" i="140"/>
  <c r="AE12" i="140"/>
  <c r="D24" i="141"/>
  <c r="E10" i="141"/>
  <c r="H10" i="142" s="1"/>
  <c r="J10" i="135" s="1"/>
  <c r="H8" i="142"/>
  <c r="G8" i="141"/>
  <c r="F10" i="141"/>
  <c r="K16" i="142"/>
  <c r="L22" i="135"/>
  <c r="F22" i="141"/>
  <c r="G15" i="141"/>
  <c r="F17" i="141"/>
  <c r="H15" i="142"/>
  <c r="J21" i="135" s="1"/>
  <c r="E22" i="141"/>
  <c r="H22" i="142" s="1"/>
  <c r="E17" i="141"/>
  <c r="M9" i="142"/>
  <c r="N9" i="135"/>
  <c r="R8" i="121"/>
  <c r="S8" i="121" s="1"/>
  <c r="R7" i="121"/>
  <c r="S7" i="121" s="1"/>
  <c r="R6" i="121"/>
  <c r="S6" i="121" s="1"/>
  <c r="G13" i="135"/>
  <c r="G26" i="135" s="1"/>
  <c r="G12" i="135"/>
  <c r="G11" i="135"/>
  <c r="G24" i="135" s="1"/>
  <c r="E13" i="135"/>
  <c r="E26" i="135" s="1"/>
  <c r="E12" i="135"/>
  <c r="E25" i="135" s="1"/>
  <c r="E11" i="135"/>
  <c r="E24" i="135" s="1"/>
  <c r="AD6" i="121"/>
  <c r="F19" i="109"/>
  <c r="AE7" i="121" s="1"/>
  <c r="G19" i="109"/>
  <c r="AE8" i="121" s="1"/>
  <c r="E19" i="109"/>
  <c r="AE6" i="121" s="1"/>
  <c r="H18" i="109"/>
  <c r="AD9" i="121" s="1"/>
  <c r="K8" i="121"/>
  <c r="K7" i="121"/>
  <c r="K6" i="121"/>
  <c r="J8" i="121"/>
  <c r="J7" i="121"/>
  <c r="J6" i="121"/>
  <c r="D8" i="121"/>
  <c r="D7" i="121"/>
  <c r="D6" i="121"/>
  <c r="G27" i="141" l="1"/>
  <c r="AB27" i="142" s="1"/>
  <c r="AB20" i="142"/>
  <c r="E20" i="142" s="1"/>
  <c r="I20" i="142" s="1"/>
  <c r="J20" i="142" s="1"/>
  <c r="K20" i="142" s="1"/>
  <c r="L20" i="142" s="1"/>
  <c r="M20" i="142" s="1"/>
  <c r="N20" i="142" s="1"/>
  <c r="O20" i="142" s="1"/>
  <c r="P20" i="142" s="1"/>
  <c r="Q20" i="142" s="1"/>
  <c r="R20" i="142" s="1"/>
  <c r="S20" i="142" s="1"/>
  <c r="T20" i="142" s="1"/>
  <c r="U20" i="142" s="1"/>
  <c r="V20" i="142" s="1"/>
  <c r="W20" i="142" s="1"/>
  <c r="X20" i="142" s="1"/>
  <c r="Y20" i="142" s="1"/>
  <c r="Z20" i="142" s="1"/>
  <c r="AA20" i="142" s="1"/>
  <c r="K9" i="136"/>
  <c r="K9" i="134"/>
  <c r="L26" i="142"/>
  <c r="AG6" i="140"/>
  <c r="AF8" i="140"/>
  <c r="AB8" i="136"/>
  <c r="AB8" i="134"/>
  <c r="AG10" i="140"/>
  <c r="AF12" i="140"/>
  <c r="H9" i="109"/>
  <c r="H10" i="136"/>
  <c r="H10" i="134"/>
  <c r="E25" i="142"/>
  <c r="I25" i="142" s="1"/>
  <c r="G17" i="141"/>
  <c r="G22" i="141"/>
  <c r="AB22" i="142" s="1"/>
  <c r="E22" i="142" s="1"/>
  <c r="I22" i="142" s="1"/>
  <c r="J22" i="142" s="1"/>
  <c r="K22" i="142" s="1"/>
  <c r="L22" i="142" s="1"/>
  <c r="M22" i="142" s="1"/>
  <c r="N22" i="142" s="1"/>
  <c r="O22" i="142" s="1"/>
  <c r="P22" i="142" s="1"/>
  <c r="Q22" i="142" s="1"/>
  <c r="R22" i="142" s="1"/>
  <c r="S22" i="142" s="1"/>
  <c r="T22" i="142" s="1"/>
  <c r="U22" i="142" s="1"/>
  <c r="V22" i="142" s="1"/>
  <c r="W22" i="142" s="1"/>
  <c r="X22" i="142" s="1"/>
  <c r="Y22" i="142" s="1"/>
  <c r="Z22" i="142" s="1"/>
  <c r="AA22" i="142" s="1"/>
  <c r="AB15" i="142"/>
  <c r="O9" i="135"/>
  <c r="O16" i="135" s="1"/>
  <c r="N9" i="142"/>
  <c r="G10" i="141"/>
  <c r="AB10" i="142" s="1"/>
  <c r="AB8" i="142"/>
  <c r="H17" i="142"/>
  <c r="J23" i="135" s="1"/>
  <c r="E24" i="141"/>
  <c r="H24" i="142" s="1"/>
  <c r="H8" i="109" s="1"/>
  <c r="J8" i="135"/>
  <c r="J12" i="135" s="1"/>
  <c r="F24" i="141"/>
  <c r="L16" i="142"/>
  <c r="M22" i="135"/>
  <c r="M29" i="135" s="1"/>
  <c r="M15" i="135"/>
  <c r="M16" i="135"/>
  <c r="M17" i="135"/>
  <c r="J28" i="135"/>
  <c r="J29" i="135"/>
  <c r="J30" i="135"/>
  <c r="K28" i="135"/>
  <c r="K29" i="135"/>
  <c r="K30" i="135"/>
  <c r="K17" i="135"/>
  <c r="K16" i="135"/>
  <c r="K15" i="135"/>
  <c r="AD28" i="135"/>
  <c r="AD29" i="135"/>
  <c r="AD30" i="135"/>
  <c r="L30" i="135"/>
  <c r="L28" i="135"/>
  <c r="L29" i="135"/>
  <c r="J15" i="135"/>
  <c r="J17" i="135"/>
  <c r="J16" i="135"/>
  <c r="L16" i="135"/>
  <c r="L17" i="135"/>
  <c r="L15" i="135"/>
  <c r="AD15" i="135"/>
  <c r="AD16" i="135"/>
  <c r="AD17" i="135"/>
  <c r="N15" i="135"/>
  <c r="N16" i="135"/>
  <c r="N17" i="135"/>
  <c r="J26" i="135"/>
  <c r="J24" i="135"/>
  <c r="G25" i="135"/>
  <c r="T6" i="121"/>
  <c r="T8" i="121"/>
  <c r="T7" i="121"/>
  <c r="I8" i="136" l="1"/>
  <c r="J25" i="142"/>
  <c r="I8" i="134"/>
  <c r="AH10" i="140"/>
  <c r="AG12" i="140"/>
  <c r="AH6" i="140"/>
  <c r="AG8" i="140"/>
  <c r="L9" i="136"/>
  <c r="M26" i="142"/>
  <c r="L9" i="134"/>
  <c r="AB10" i="136"/>
  <c r="AB10" i="134"/>
  <c r="AB9" i="109"/>
  <c r="E27" i="142"/>
  <c r="I27" i="142" s="1"/>
  <c r="O17" i="135"/>
  <c r="M28" i="135"/>
  <c r="L18" i="135"/>
  <c r="J13" i="135"/>
  <c r="M30" i="135"/>
  <c r="J11" i="135"/>
  <c r="M16" i="142"/>
  <c r="N22" i="135"/>
  <c r="AD10" i="135"/>
  <c r="E10" i="142"/>
  <c r="I10" i="142" s="1"/>
  <c r="O15" i="135"/>
  <c r="AD21" i="135"/>
  <c r="AD25" i="135" s="1"/>
  <c r="E15" i="142"/>
  <c r="I15" i="142" s="1"/>
  <c r="AD8" i="135"/>
  <c r="E8" i="142"/>
  <c r="I8" i="142" s="1"/>
  <c r="O9" i="142"/>
  <c r="P9" i="135"/>
  <c r="AB17" i="142"/>
  <c r="G24" i="141"/>
  <c r="AB24" i="142" s="1"/>
  <c r="J31" i="135"/>
  <c r="K18" i="135"/>
  <c r="J18" i="135"/>
  <c r="AD31" i="135"/>
  <c r="K31" i="135"/>
  <c r="L31" i="135"/>
  <c r="N18" i="135"/>
  <c r="AD18" i="135"/>
  <c r="M18" i="135"/>
  <c r="J25" i="135"/>
  <c r="J27" i="135" s="1"/>
  <c r="I9" i="109" l="1"/>
  <c r="J27" i="142"/>
  <c r="I10" i="134"/>
  <c r="I10" i="136"/>
  <c r="AI6" i="140"/>
  <c r="AH8" i="140"/>
  <c r="J8" i="134"/>
  <c r="J8" i="136"/>
  <c r="K25" i="142"/>
  <c r="N26" i="142"/>
  <c r="M9" i="134"/>
  <c r="M9" i="136"/>
  <c r="AI10" i="140"/>
  <c r="AH12" i="140"/>
  <c r="O18" i="135"/>
  <c r="M31" i="135"/>
  <c r="M35" i="135" s="1"/>
  <c r="G21" i="139" s="1"/>
  <c r="L35" i="135"/>
  <c r="F21" i="139" s="1"/>
  <c r="J14" i="135"/>
  <c r="J34" i="135" s="1"/>
  <c r="D20" i="139" s="1"/>
  <c r="AB8" i="109"/>
  <c r="E24" i="142"/>
  <c r="I24" i="142" s="1"/>
  <c r="J8" i="142"/>
  <c r="K8" i="135"/>
  <c r="K10" i="135"/>
  <c r="J10" i="142"/>
  <c r="E17" i="142"/>
  <c r="I17" i="142" s="1"/>
  <c r="AD23" i="135"/>
  <c r="AD11" i="135"/>
  <c r="AD12" i="135"/>
  <c r="AD13" i="135"/>
  <c r="P15" i="135"/>
  <c r="P17" i="135"/>
  <c r="P16" i="135"/>
  <c r="J15" i="142"/>
  <c r="K21" i="135"/>
  <c r="N30" i="135"/>
  <c r="N28" i="135"/>
  <c r="N29" i="135"/>
  <c r="J35" i="135"/>
  <c r="D21" i="139" s="1"/>
  <c r="Q9" i="135"/>
  <c r="P9" i="142"/>
  <c r="AD24" i="135"/>
  <c r="AD26" i="135"/>
  <c r="N16" i="142"/>
  <c r="O22" i="135"/>
  <c r="K35" i="135"/>
  <c r="E21" i="139" s="1"/>
  <c r="J32" i="135"/>
  <c r="AD35" i="135"/>
  <c r="X21" i="139" s="1"/>
  <c r="G18" i="109"/>
  <c r="AD8" i="121" s="1"/>
  <c r="F18" i="109"/>
  <c r="AD7" i="121" s="1"/>
  <c r="I18" i="109"/>
  <c r="AD10" i="121" s="1"/>
  <c r="N9" i="134" l="1"/>
  <c r="O26" i="142"/>
  <c r="N9" i="136"/>
  <c r="J9" i="109"/>
  <c r="J10" i="136"/>
  <c r="K27" i="142"/>
  <c r="J10" i="134"/>
  <c r="AJ10" i="140"/>
  <c r="AI12" i="140"/>
  <c r="L25" i="142"/>
  <c r="K8" i="136"/>
  <c r="K8" i="134"/>
  <c r="AJ6" i="140"/>
  <c r="AI8" i="140"/>
  <c r="J19" i="135"/>
  <c r="J36" i="135" s="1"/>
  <c r="N31" i="135"/>
  <c r="N35" i="135" s="1"/>
  <c r="H21" i="139" s="1"/>
  <c r="AD27" i="135"/>
  <c r="AD32" i="135" s="1"/>
  <c r="O16" i="142"/>
  <c r="P22" i="135"/>
  <c r="Q15" i="135"/>
  <c r="Q16" i="135"/>
  <c r="Q17" i="135"/>
  <c r="K11" i="135"/>
  <c r="K12" i="135"/>
  <c r="K13" i="135"/>
  <c r="J17" i="142"/>
  <c r="K23" i="135"/>
  <c r="K8" i="142"/>
  <c r="L8" i="135"/>
  <c r="K26" i="135"/>
  <c r="K24" i="135"/>
  <c r="K25" i="135"/>
  <c r="P18" i="135"/>
  <c r="L10" i="135"/>
  <c r="K10" i="142"/>
  <c r="I8" i="109"/>
  <c r="J24" i="142"/>
  <c r="O28" i="135"/>
  <c r="O30" i="135"/>
  <c r="O29" i="135"/>
  <c r="Q9" i="142"/>
  <c r="R9" i="135"/>
  <c r="K15" i="142"/>
  <c r="L21" i="135"/>
  <c r="AD14" i="135"/>
  <c r="AD19" i="135" s="1"/>
  <c r="AK10" i="140" l="1"/>
  <c r="AJ12" i="140"/>
  <c r="L8" i="134"/>
  <c r="L8" i="136"/>
  <c r="M25" i="142"/>
  <c r="K9" i="109"/>
  <c r="L27" i="142"/>
  <c r="K10" i="136"/>
  <c r="K10" i="134"/>
  <c r="P26" i="142"/>
  <c r="O9" i="136"/>
  <c r="O9" i="134"/>
  <c r="AK6" i="140"/>
  <c r="AJ8" i="140"/>
  <c r="D22" i="139"/>
  <c r="H14" i="109"/>
  <c r="O31" i="135"/>
  <c r="O35" i="135" s="1"/>
  <c r="I21" i="139" s="1"/>
  <c r="AD36" i="135"/>
  <c r="L11" i="135"/>
  <c r="L13" i="135"/>
  <c r="L12" i="135"/>
  <c r="P30" i="135"/>
  <c r="P29" i="135"/>
  <c r="P28" i="135"/>
  <c r="L15" i="142"/>
  <c r="M21" i="135"/>
  <c r="L10" i="142"/>
  <c r="M10" i="135"/>
  <c r="K27" i="135"/>
  <c r="M8" i="135"/>
  <c r="L8" i="142"/>
  <c r="P16" i="142"/>
  <c r="Q22" i="135"/>
  <c r="R15" i="135"/>
  <c r="R16" i="135"/>
  <c r="R17" i="135"/>
  <c r="K14" i="135"/>
  <c r="K19" i="135" s="1"/>
  <c r="AD34" i="135"/>
  <c r="X20" i="139" s="1"/>
  <c r="L26" i="135"/>
  <c r="L24" i="135"/>
  <c r="L25" i="135"/>
  <c r="R9" i="142"/>
  <c r="S9" i="135"/>
  <c r="K24" i="142"/>
  <c r="J8" i="109"/>
  <c r="K17" i="142"/>
  <c r="L23" i="135"/>
  <c r="Q18" i="135"/>
  <c r="L9" i="109" l="1"/>
  <c r="L10" i="136"/>
  <c r="M27" i="142"/>
  <c r="L10" i="134"/>
  <c r="P9" i="134"/>
  <c r="P9" i="136"/>
  <c r="Q26" i="142"/>
  <c r="AL6" i="140"/>
  <c r="AK8" i="140"/>
  <c r="N25" i="142"/>
  <c r="M8" i="134"/>
  <c r="M8" i="136"/>
  <c r="AL10" i="140"/>
  <c r="AK12" i="140"/>
  <c r="R9" i="121"/>
  <c r="T9" i="121" s="1"/>
  <c r="L14" i="135"/>
  <c r="L19" i="135" s="1"/>
  <c r="R18" i="135"/>
  <c r="X22" i="139"/>
  <c r="AB14" i="109"/>
  <c r="R29" i="121" s="1"/>
  <c r="M23" i="135"/>
  <c r="L17" i="142"/>
  <c r="S9" i="142"/>
  <c r="T9" i="135"/>
  <c r="M12" i="135"/>
  <c r="M11" i="135"/>
  <c r="M13" i="135"/>
  <c r="M24" i="135"/>
  <c r="M26" i="135"/>
  <c r="M25" i="135"/>
  <c r="L27" i="135"/>
  <c r="Q29" i="135"/>
  <c r="Q30" i="135"/>
  <c r="Q28" i="135"/>
  <c r="K34" i="135"/>
  <c r="E20" i="139" s="1"/>
  <c r="K32" i="135"/>
  <c r="K36" i="135" s="1"/>
  <c r="M15" i="142"/>
  <c r="N21" i="135"/>
  <c r="L24" i="142"/>
  <c r="K8" i="109"/>
  <c r="R22" i="135"/>
  <c r="Q16" i="142"/>
  <c r="P31" i="135"/>
  <c r="P35" i="135" s="1"/>
  <c r="J21" i="139" s="1"/>
  <c r="S16" i="135"/>
  <c r="S17" i="135"/>
  <c r="S15" i="135"/>
  <c r="N8" i="135"/>
  <c r="M8" i="142"/>
  <c r="M10" i="142"/>
  <c r="N10" i="135"/>
  <c r="M9" i="109" l="1"/>
  <c r="N27" i="142"/>
  <c r="M10" i="134"/>
  <c r="M10" i="136"/>
  <c r="O25" i="142"/>
  <c r="N8" i="134"/>
  <c r="N8" i="136"/>
  <c r="AM6" i="140"/>
  <c r="AL8" i="140"/>
  <c r="R26" i="142"/>
  <c r="Q9" i="134"/>
  <c r="Q9" i="136"/>
  <c r="AM10" i="140"/>
  <c r="AL12" i="140"/>
  <c r="S9" i="121"/>
  <c r="S18" i="135"/>
  <c r="T29" i="121"/>
  <c r="S29" i="121"/>
  <c r="N15" i="142"/>
  <c r="O21" i="135"/>
  <c r="R16" i="142"/>
  <c r="S22" i="135"/>
  <c r="I14" i="109"/>
  <c r="E22" i="139"/>
  <c r="T17" i="135"/>
  <c r="T16" i="135"/>
  <c r="T15" i="135"/>
  <c r="O10" i="135"/>
  <c r="N10" i="142"/>
  <c r="R29" i="135"/>
  <c r="R30" i="135"/>
  <c r="R28" i="135"/>
  <c r="L32" i="135"/>
  <c r="L36" i="135" s="1"/>
  <c r="L34" i="135"/>
  <c r="F20" i="139" s="1"/>
  <c r="T9" i="142"/>
  <c r="U9" i="135"/>
  <c r="N8" i="142"/>
  <c r="O8" i="135"/>
  <c r="N26" i="135"/>
  <c r="N24" i="135"/>
  <c r="N25" i="135"/>
  <c r="Q31" i="135"/>
  <c r="Q35" i="135" s="1"/>
  <c r="K21" i="139" s="1"/>
  <c r="M27" i="135"/>
  <c r="M14" i="135"/>
  <c r="M19" i="135" s="1"/>
  <c r="M17" i="142"/>
  <c r="N23" i="135"/>
  <c r="N11" i="135"/>
  <c r="N12" i="135"/>
  <c r="N13" i="135"/>
  <c r="L8" i="109"/>
  <c r="M24" i="142"/>
  <c r="AB20" i="134"/>
  <c r="AB16" i="134"/>
  <c r="S26" i="142" l="1"/>
  <c r="R9" i="134"/>
  <c r="R9" i="136"/>
  <c r="N9" i="109"/>
  <c r="O27" i="142"/>
  <c r="N10" i="136"/>
  <c r="N10" i="134"/>
  <c r="AN6" i="140"/>
  <c r="AM8" i="140"/>
  <c r="AN10" i="140"/>
  <c r="AM12" i="140"/>
  <c r="O8" i="136"/>
  <c r="O8" i="134"/>
  <c r="P25" i="142"/>
  <c r="R10" i="121"/>
  <c r="T10" i="121" s="1"/>
  <c r="R31" i="135"/>
  <c r="R35" i="135" s="1"/>
  <c r="L21" i="139" s="1"/>
  <c r="N27" i="135"/>
  <c r="N32" i="135" s="1"/>
  <c r="T18" i="135"/>
  <c r="O24" i="135"/>
  <c r="O26" i="135"/>
  <c r="O25" i="135"/>
  <c r="O23" i="135"/>
  <c r="N17" i="142"/>
  <c r="P8" i="135"/>
  <c r="O8" i="142"/>
  <c r="U17" i="135"/>
  <c r="U15" i="135"/>
  <c r="U16" i="135"/>
  <c r="S30" i="135"/>
  <c r="S29" i="135"/>
  <c r="S28" i="135"/>
  <c r="N24" i="142"/>
  <c r="M8" i="109"/>
  <c r="N14" i="135"/>
  <c r="N19" i="135" s="1"/>
  <c r="M32" i="135"/>
  <c r="M36" i="135" s="1"/>
  <c r="M34" i="135"/>
  <c r="G20" i="139" s="1"/>
  <c r="U9" i="142"/>
  <c r="V9" i="135"/>
  <c r="P10" i="135"/>
  <c r="O10" i="142"/>
  <c r="S16" i="142"/>
  <c r="T22" i="135"/>
  <c r="O11" i="135"/>
  <c r="O13" i="135"/>
  <c r="O12" i="135"/>
  <c r="J14" i="109"/>
  <c r="R11" i="121" s="1"/>
  <c r="F22" i="139"/>
  <c r="O15" i="142"/>
  <c r="P21" i="135"/>
  <c r="X16" i="139"/>
  <c r="AB17" i="134"/>
  <c r="X13" i="139" s="1"/>
  <c r="AB21" i="134"/>
  <c r="X17" i="139" s="1"/>
  <c r="X12" i="139"/>
  <c r="AO6" i="140" l="1"/>
  <c r="AN8" i="140"/>
  <c r="Q25" i="142"/>
  <c r="P8" i="134"/>
  <c r="P8" i="136"/>
  <c r="AO10" i="140"/>
  <c r="AN12" i="140"/>
  <c r="O9" i="109"/>
  <c r="O10" i="134"/>
  <c r="P27" i="142"/>
  <c r="O10" i="136"/>
  <c r="T26" i="142"/>
  <c r="S9" i="136"/>
  <c r="S9" i="134"/>
  <c r="S10" i="121"/>
  <c r="N36" i="135"/>
  <c r="H22" i="139" s="1"/>
  <c r="S31" i="135"/>
  <c r="S35" i="135" s="1"/>
  <c r="M21" i="139" s="1"/>
  <c r="U18" i="135"/>
  <c r="Q21" i="135"/>
  <c r="P15" i="142"/>
  <c r="S11" i="121"/>
  <c r="T11" i="121"/>
  <c r="Q10" i="135"/>
  <c r="P10" i="142"/>
  <c r="V15" i="135"/>
  <c r="V16" i="135"/>
  <c r="V17" i="135"/>
  <c r="L14" i="109"/>
  <c r="R13" i="121" s="1"/>
  <c r="O14" i="135"/>
  <c r="O19" i="135" s="1"/>
  <c r="W9" i="135"/>
  <c r="V9" i="142"/>
  <c r="Q8" i="135"/>
  <c r="P8" i="142"/>
  <c r="O27" i="135"/>
  <c r="N34" i="135"/>
  <c r="H20" i="139" s="1"/>
  <c r="T28" i="135"/>
  <c r="T30" i="135"/>
  <c r="T29" i="135"/>
  <c r="O24" i="142"/>
  <c r="N8" i="109"/>
  <c r="P11" i="135"/>
  <c r="P12" i="135"/>
  <c r="P13" i="135"/>
  <c r="P24" i="135"/>
  <c r="P25" i="135"/>
  <c r="P26" i="135"/>
  <c r="T16" i="142"/>
  <c r="U22" i="135"/>
  <c r="K14" i="109"/>
  <c r="G22" i="139"/>
  <c r="P23" i="135"/>
  <c r="O17" i="142"/>
  <c r="AB22" i="134"/>
  <c r="AB13" i="109" s="1"/>
  <c r="K29" i="121" s="1"/>
  <c r="AB18" i="134"/>
  <c r="X14" i="139" s="1"/>
  <c r="D15" i="93"/>
  <c r="D14" i="93"/>
  <c r="D13" i="93"/>
  <c r="C15" i="93"/>
  <c r="C14" i="93"/>
  <c r="C13" i="93"/>
  <c r="C12" i="93"/>
  <c r="U26" i="142" l="1"/>
  <c r="T9" i="134"/>
  <c r="T9" i="136"/>
  <c r="R25" i="142"/>
  <c r="Q8" i="134"/>
  <c r="Q8" i="136"/>
  <c r="P9" i="109"/>
  <c r="P10" i="134"/>
  <c r="P10" i="136"/>
  <c r="Q27" i="142"/>
  <c r="AP10" i="140"/>
  <c r="AO12" i="140"/>
  <c r="AP6" i="140"/>
  <c r="AO8" i="140"/>
  <c r="R12" i="121"/>
  <c r="S12" i="121" s="1"/>
  <c r="P14" i="135"/>
  <c r="P19" i="135" s="1"/>
  <c r="T13" i="121"/>
  <c r="S13" i="121"/>
  <c r="R10" i="135"/>
  <c r="Q10" i="142"/>
  <c r="Q15" i="142"/>
  <c r="R21" i="135"/>
  <c r="Q23" i="135"/>
  <c r="P17" i="142"/>
  <c r="P27" i="135"/>
  <c r="O32" i="135"/>
  <c r="O36" i="135" s="1"/>
  <c r="O34" i="135"/>
  <c r="I20" i="139" s="1"/>
  <c r="V22" i="135"/>
  <c r="U16" i="142"/>
  <c r="O8" i="109"/>
  <c r="P24" i="142"/>
  <c r="Q8" i="142"/>
  <c r="R8" i="135"/>
  <c r="T31" i="135"/>
  <c r="T35" i="135" s="1"/>
  <c r="N21" i="139" s="1"/>
  <c r="Q12" i="135"/>
  <c r="Q11" i="135"/>
  <c r="Q13" i="135"/>
  <c r="V18" i="135"/>
  <c r="W9" i="142"/>
  <c r="X9" i="135"/>
  <c r="U28" i="135"/>
  <c r="U29" i="135"/>
  <c r="U30" i="135"/>
  <c r="W17" i="135"/>
  <c r="W16" i="135"/>
  <c r="W15" i="135"/>
  <c r="Q25" i="135"/>
  <c r="Q24" i="135"/>
  <c r="Q26" i="135"/>
  <c r="AB12" i="109"/>
  <c r="J29" i="121" s="1"/>
  <c r="X18" i="139"/>
  <c r="D12" i="122"/>
  <c r="E12" i="122"/>
  <c r="F12" i="122"/>
  <c r="C12" i="122"/>
  <c r="S25" i="142" l="1"/>
  <c r="R8" i="134"/>
  <c r="R8" i="136"/>
  <c r="AQ10" i="140"/>
  <c r="AP12" i="140"/>
  <c r="Q9" i="109"/>
  <c r="Q10" i="136"/>
  <c r="R27" i="142"/>
  <c r="Q10" i="134"/>
  <c r="AQ6" i="140"/>
  <c r="AP8" i="140"/>
  <c r="V26" i="142"/>
  <c r="U9" i="134"/>
  <c r="U9" i="136"/>
  <c r="T12" i="121"/>
  <c r="U31" i="135"/>
  <c r="U35" i="135" s="1"/>
  <c r="O21" i="139" s="1"/>
  <c r="Q27" i="135"/>
  <c r="X15" i="135"/>
  <c r="X17" i="135"/>
  <c r="X16" i="135"/>
  <c r="Q14" i="135"/>
  <c r="Q19" i="135" s="1"/>
  <c r="I22" i="139"/>
  <c r="M14" i="109"/>
  <c r="R24" i="135"/>
  <c r="R26" i="135"/>
  <c r="R25" i="135"/>
  <c r="X9" i="142"/>
  <c r="Y9" i="135"/>
  <c r="R11" i="135"/>
  <c r="R12" i="135"/>
  <c r="R13" i="135"/>
  <c r="W22" i="135"/>
  <c r="V16" i="142"/>
  <c r="P32" i="135"/>
  <c r="P36" i="135" s="1"/>
  <c r="P34" i="135"/>
  <c r="J20" i="139" s="1"/>
  <c r="R15" i="142"/>
  <c r="S21" i="135"/>
  <c r="W18" i="135"/>
  <c r="S8" i="135"/>
  <c r="R8" i="142"/>
  <c r="V30" i="135"/>
  <c r="V28" i="135"/>
  <c r="V29" i="135"/>
  <c r="Q17" i="142"/>
  <c r="R23" i="135"/>
  <c r="S10" i="135"/>
  <c r="R10" i="142"/>
  <c r="Q24" i="142"/>
  <c r="P8" i="109"/>
  <c r="AF6" i="121"/>
  <c r="AF5" i="121"/>
  <c r="Z6" i="121"/>
  <c r="Z7" i="121"/>
  <c r="Z8" i="121"/>
  <c r="X5" i="121"/>
  <c r="Z5" i="121" s="1"/>
  <c r="R5" i="121"/>
  <c r="S5" i="121" s="1"/>
  <c r="L6" i="121"/>
  <c r="N6" i="121" s="1"/>
  <c r="AN5" i="121" s="1"/>
  <c r="L5" i="121"/>
  <c r="E6" i="121"/>
  <c r="F7" i="121"/>
  <c r="F8" i="121"/>
  <c r="E5" i="121"/>
  <c r="R6" i="120"/>
  <c r="Q6" i="120"/>
  <c r="N6" i="120"/>
  <c r="N7" i="120"/>
  <c r="V9" i="134" l="1"/>
  <c r="W26" i="142"/>
  <c r="V9" i="136"/>
  <c r="R9" i="109"/>
  <c r="R10" i="136"/>
  <c r="S27" i="142"/>
  <c r="R10" i="134"/>
  <c r="AR10" i="140"/>
  <c r="AQ12" i="140"/>
  <c r="AR6" i="140"/>
  <c r="AQ8" i="140"/>
  <c r="S8" i="134"/>
  <c r="T25" i="142"/>
  <c r="S8" i="136"/>
  <c r="R14" i="121"/>
  <c r="S14" i="121" s="1"/>
  <c r="V31" i="135"/>
  <c r="V35" i="135" s="1"/>
  <c r="P21" i="139" s="1"/>
  <c r="X18" i="135"/>
  <c r="R24" i="142"/>
  <c r="Q8" i="109"/>
  <c r="N14" i="109"/>
  <c r="R15" i="121" s="1"/>
  <c r="J22" i="139"/>
  <c r="S24" i="135"/>
  <c r="S26" i="135"/>
  <c r="S25" i="135"/>
  <c r="X22" i="135"/>
  <c r="W16" i="142"/>
  <c r="R14" i="135"/>
  <c r="R19" i="135" s="1"/>
  <c r="Q34" i="135"/>
  <c r="K20" i="139" s="1"/>
  <c r="Q32" i="135"/>
  <c r="Q36" i="135" s="1"/>
  <c r="S23" i="135"/>
  <c r="R17" i="142"/>
  <c r="T8" i="135"/>
  <c r="S8" i="142"/>
  <c r="S15" i="142"/>
  <c r="T21" i="135"/>
  <c r="W28" i="135"/>
  <c r="W29" i="135"/>
  <c r="W30" i="135"/>
  <c r="Y16" i="135"/>
  <c r="Y17" i="135"/>
  <c r="Y15" i="135"/>
  <c r="R27" i="135"/>
  <c r="S10" i="142"/>
  <c r="T10" i="135"/>
  <c r="S12" i="135"/>
  <c r="S11" i="135"/>
  <c r="S13" i="135"/>
  <c r="Y9" i="142"/>
  <c r="Z9" i="135"/>
  <c r="T5" i="121"/>
  <c r="AH5" i="121"/>
  <c r="AG5" i="121"/>
  <c r="AH6" i="121"/>
  <c r="AG6" i="121"/>
  <c r="L7" i="121"/>
  <c r="N7" i="121" s="1"/>
  <c r="Y8" i="121"/>
  <c r="AO5" i="121"/>
  <c r="AP5" i="121"/>
  <c r="L8" i="121"/>
  <c r="N8" i="121" s="1"/>
  <c r="Y5" i="121"/>
  <c r="E8" i="121"/>
  <c r="Y7" i="121"/>
  <c r="Y6" i="121"/>
  <c r="E7" i="121"/>
  <c r="F5" i="121"/>
  <c r="F6" i="121"/>
  <c r="M6" i="121"/>
  <c r="M5" i="121"/>
  <c r="N5" i="121"/>
  <c r="P9" i="120"/>
  <c r="P8" i="120"/>
  <c r="P7" i="120"/>
  <c r="O30" i="120"/>
  <c r="O29" i="120"/>
  <c r="O28" i="120"/>
  <c r="O27" i="120"/>
  <c r="O26" i="120"/>
  <c r="O25" i="120"/>
  <c r="O24" i="120"/>
  <c r="O23" i="120"/>
  <c r="O22" i="120"/>
  <c r="O21" i="120"/>
  <c r="O20" i="120"/>
  <c r="O19" i="120"/>
  <c r="O18" i="120"/>
  <c r="O17" i="120"/>
  <c r="O16" i="120"/>
  <c r="O15" i="120"/>
  <c r="O14" i="120"/>
  <c r="O13" i="120"/>
  <c r="O12" i="120"/>
  <c r="O7" i="120"/>
  <c r="Q7" i="120" s="1"/>
  <c r="R7" i="120" s="1"/>
  <c r="N8" i="120"/>
  <c r="N9" i="120"/>
  <c r="L30" i="120"/>
  <c r="L29" i="120"/>
  <c r="L28" i="120"/>
  <c r="L27" i="120"/>
  <c r="L26" i="120"/>
  <c r="L25" i="120"/>
  <c r="L24" i="120"/>
  <c r="L23" i="120"/>
  <c r="L22" i="120"/>
  <c r="L21" i="120"/>
  <c r="L20" i="120"/>
  <c r="L19" i="120"/>
  <c r="L18" i="120"/>
  <c r="L17" i="120"/>
  <c r="L16" i="120"/>
  <c r="L15" i="120"/>
  <c r="L14" i="120"/>
  <c r="L13" i="120"/>
  <c r="L12" i="120"/>
  <c r="L11" i="120"/>
  <c r="L10" i="120"/>
  <c r="AS10" i="140" l="1"/>
  <c r="AS12" i="140" s="1"/>
  <c r="AR12" i="140"/>
  <c r="AS6" i="140"/>
  <c r="AS8" i="140" s="1"/>
  <c r="AR8" i="140"/>
  <c r="S9" i="109"/>
  <c r="T27" i="142"/>
  <c r="S10" i="136"/>
  <c r="S10" i="134"/>
  <c r="X26" i="142"/>
  <c r="W9" i="136"/>
  <c r="W9" i="134"/>
  <c r="T8" i="134"/>
  <c r="T8" i="136"/>
  <c r="U25" i="142"/>
  <c r="T14" i="121"/>
  <c r="K22" i="139"/>
  <c r="O14" i="109"/>
  <c r="R34" i="135"/>
  <c r="L20" i="139" s="1"/>
  <c r="R32" i="135"/>
  <c r="R36" i="135" s="1"/>
  <c r="U21" i="135"/>
  <c r="T15" i="142"/>
  <c r="Z15" i="135"/>
  <c r="Z16" i="135"/>
  <c r="Z17" i="135"/>
  <c r="Y18" i="135"/>
  <c r="T8" i="142"/>
  <c r="U8" i="135"/>
  <c r="T10" i="142"/>
  <c r="U10" i="135"/>
  <c r="T24" i="135"/>
  <c r="T26" i="135"/>
  <c r="T25" i="135"/>
  <c r="T23" i="135"/>
  <c r="S17" i="142"/>
  <c r="X30" i="135"/>
  <c r="X28" i="135"/>
  <c r="X29" i="135"/>
  <c r="S14" i="135"/>
  <c r="S19" i="135" s="1"/>
  <c r="S15" i="121"/>
  <c r="T15" i="121"/>
  <c r="AA9" i="135"/>
  <c r="Z9" i="142"/>
  <c r="W31" i="135"/>
  <c r="W35" i="135" s="1"/>
  <c r="Q21" i="139" s="1"/>
  <c r="T11" i="135"/>
  <c r="T13" i="135"/>
  <c r="T12" i="135"/>
  <c r="X16" i="142"/>
  <c r="Y22" i="135"/>
  <c r="S27" i="135"/>
  <c r="R8" i="109"/>
  <c r="S24" i="142"/>
  <c r="H21" i="134"/>
  <c r="D17" i="139" s="1"/>
  <c r="H17" i="134"/>
  <c r="D13" i="139" s="1"/>
  <c r="M7" i="121"/>
  <c r="M8" i="121"/>
  <c r="P10" i="120"/>
  <c r="P11" i="120"/>
  <c r="U8" i="134" l="1"/>
  <c r="U8" i="136"/>
  <c r="V25" i="142"/>
  <c r="T9" i="109"/>
  <c r="U27" i="142"/>
  <c r="T10" i="136"/>
  <c r="T10" i="134"/>
  <c r="X9" i="136"/>
  <c r="Y26" i="142"/>
  <c r="X9" i="134"/>
  <c r="R16" i="121"/>
  <c r="T16" i="121" s="1"/>
  <c r="T24" i="142"/>
  <c r="S8" i="109"/>
  <c r="Y16" i="142"/>
  <c r="Z22" i="135"/>
  <c r="V21" i="135"/>
  <c r="U15" i="142"/>
  <c r="S34" i="135"/>
  <c r="M20" i="139" s="1"/>
  <c r="S32" i="135"/>
  <c r="S36" i="135" s="1"/>
  <c r="AA16" i="135"/>
  <c r="AA15" i="135"/>
  <c r="AA17" i="135"/>
  <c r="U13" i="135"/>
  <c r="U12" i="135"/>
  <c r="U11" i="135"/>
  <c r="L22" i="139"/>
  <c r="P14" i="109"/>
  <c r="R17" i="121" s="1"/>
  <c r="Y29" i="135"/>
  <c r="Y30" i="135"/>
  <c r="Y28" i="135"/>
  <c r="T14" i="135"/>
  <c r="T19" i="135" s="1"/>
  <c r="X31" i="135"/>
  <c r="X35" i="135" s="1"/>
  <c r="R21" i="139" s="1"/>
  <c r="T27" i="135"/>
  <c r="U10" i="142"/>
  <c r="V10" i="135"/>
  <c r="U8" i="142"/>
  <c r="V8" i="135"/>
  <c r="Z18" i="135"/>
  <c r="AA9" i="142"/>
  <c r="AC9" i="135" s="1"/>
  <c r="AB9" i="135"/>
  <c r="U23" i="135"/>
  <c r="T17" i="142"/>
  <c r="U26" i="135"/>
  <c r="U24" i="135"/>
  <c r="U25" i="135"/>
  <c r="I21" i="134"/>
  <c r="E17" i="139" s="1"/>
  <c r="I17" i="134"/>
  <c r="E13" i="139" s="1"/>
  <c r="H16" i="134"/>
  <c r="H20" i="134"/>
  <c r="U23" i="117"/>
  <c r="U24" i="117"/>
  <c r="U25" i="117"/>
  <c r="U26" i="117"/>
  <c r="U27" i="117"/>
  <c r="U28" i="117"/>
  <c r="U29" i="117"/>
  <c r="U30" i="117"/>
  <c r="U31" i="117"/>
  <c r="U32" i="117"/>
  <c r="U33" i="117"/>
  <c r="U34" i="117"/>
  <c r="U35" i="117"/>
  <c r="U36" i="117"/>
  <c r="U37" i="117"/>
  <c r="U22" i="117"/>
  <c r="U6" i="117"/>
  <c r="U7" i="117"/>
  <c r="U8" i="117"/>
  <c r="U9" i="117"/>
  <c r="U10" i="117"/>
  <c r="U11" i="117"/>
  <c r="U12" i="117"/>
  <c r="U13" i="117"/>
  <c r="U14" i="117"/>
  <c r="U15" i="117"/>
  <c r="U16" i="117"/>
  <c r="U17" i="117"/>
  <c r="U18" i="117"/>
  <c r="U19" i="117"/>
  <c r="U20" i="117"/>
  <c r="U5" i="117"/>
  <c r="D316" i="117"/>
  <c r="D315" i="117"/>
  <c r="D413" i="117"/>
  <c r="D344" i="117"/>
  <c r="M17" i="117"/>
  <c r="V8" i="134" l="1"/>
  <c r="V8" i="136"/>
  <c r="W25" i="142"/>
  <c r="Y9" i="134"/>
  <c r="Y9" i="136"/>
  <c r="Z26" i="142"/>
  <c r="U9" i="109"/>
  <c r="U10" i="134"/>
  <c r="V27" i="142"/>
  <c r="U10" i="136"/>
  <c r="S16" i="121"/>
  <c r="U14" i="135"/>
  <c r="U19" i="135" s="1"/>
  <c r="AA18" i="135"/>
  <c r="AC15" i="135"/>
  <c r="AC17" i="135"/>
  <c r="AC16" i="135"/>
  <c r="V13" i="135"/>
  <c r="V11" i="135"/>
  <c r="V12" i="135"/>
  <c r="T34" i="135"/>
  <c r="N20" i="139" s="1"/>
  <c r="T32" i="135"/>
  <c r="T36" i="135" s="1"/>
  <c r="W21" i="135"/>
  <c r="V15" i="142"/>
  <c r="V23" i="135"/>
  <c r="U17" i="142"/>
  <c r="V25" i="135"/>
  <c r="V24" i="135"/>
  <c r="V26" i="135"/>
  <c r="T17" i="121"/>
  <c r="S17" i="121"/>
  <c r="M22" i="139"/>
  <c r="Q14" i="109"/>
  <c r="R18" i="121" s="1"/>
  <c r="Z30" i="135"/>
  <c r="Z28" i="135"/>
  <c r="Z29" i="135"/>
  <c r="AB16" i="135"/>
  <c r="AB15" i="135"/>
  <c r="AB17" i="135"/>
  <c r="V10" i="142"/>
  <c r="W10" i="135"/>
  <c r="Y31" i="135"/>
  <c r="Y35" i="135" s="1"/>
  <c r="S21" i="139" s="1"/>
  <c r="Z16" i="142"/>
  <c r="AA22" i="135"/>
  <c r="U27" i="135"/>
  <c r="W8" i="135"/>
  <c r="V8" i="142"/>
  <c r="U24" i="142"/>
  <c r="T8" i="109"/>
  <c r="I20" i="134"/>
  <c r="I16" i="134"/>
  <c r="J21" i="134"/>
  <c r="F17" i="139" s="1"/>
  <c r="J17" i="134"/>
  <c r="F13" i="139" s="1"/>
  <c r="D16" i="139"/>
  <c r="H22" i="134"/>
  <c r="D12" i="139"/>
  <c r="H18" i="134"/>
  <c r="X25" i="142" l="1"/>
  <c r="W8" i="136"/>
  <c r="W8" i="134"/>
  <c r="AA26" i="142"/>
  <c r="Z9" i="136"/>
  <c r="Z9" i="134"/>
  <c r="V9" i="109"/>
  <c r="V10" i="136"/>
  <c r="V10" i="134"/>
  <c r="W27" i="142"/>
  <c r="AB18" i="135"/>
  <c r="V27" i="135"/>
  <c r="W12" i="135"/>
  <c r="W13" i="135"/>
  <c r="W11" i="135"/>
  <c r="V32" i="135"/>
  <c r="U32" i="135"/>
  <c r="U36" i="135" s="1"/>
  <c r="U34" i="135"/>
  <c r="O20" i="139" s="1"/>
  <c r="Z31" i="135"/>
  <c r="Z35" i="135" s="1"/>
  <c r="T21" i="139" s="1"/>
  <c r="V14" i="135"/>
  <c r="V19" i="135" s="1"/>
  <c r="AC18" i="135"/>
  <c r="U8" i="109"/>
  <c r="V24" i="142"/>
  <c r="AA28" i="135"/>
  <c r="AA30" i="135"/>
  <c r="AA29" i="135"/>
  <c r="W10" i="142"/>
  <c r="X10" i="135"/>
  <c r="V17" i="142"/>
  <c r="W23" i="135"/>
  <c r="R14" i="109"/>
  <c r="R19" i="121" s="1"/>
  <c r="N22" i="139"/>
  <c r="X8" i="135"/>
  <c r="W8" i="142"/>
  <c r="AA16" i="142"/>
  <c r="AC22" i="135" s="1"/>
  <c r="AB22" i="135"/>
  <c r="S18" i="121"/>
  <c r="T18" i="121"/>
  <c r="X21" i="135"/>
  <c r="W15" i="142"/>
  <c r="W24" i="135"/>
  <c r="W25" i="135"/>
  <c r="W26" i="135"/>
  <c r="D14" i="139"/>
  <c r="H12" i="109"/>
  <c r="K17" i="134"/>
  <c r="G13" i="139" s="1"/>
  <c r="K21" i="134"/>
  <c r="G17" i="139" s="1"/>
  <c r="D18" i="139"/>
  <c r="H13" i="109"/>
  <c r="E12" i="139"/>
  <c r="I18" i="134"/>
  <c r="J20" i="134"/>
  <c r="J16" i="134"/>
  <c r="E16" i="139"/>
  <c r="I22" i="134"/>
  <c r="L60" i="117"/>
  <c r="L61" i="117"/>
  <c r="L62" i="117"/>
  <c r="L63" i="117"/>
  <c r="M60" i="117"/>
  <c r="M61" i="117"/>
  <c r="M62" i="117"/>
  <c r="M63" i="117"/>
  <c r="L64" i="117"/>
  <c r="L65" i="117"/>
  <c r="L66" i="117"/>
  <c r="L67" i="117"/>
  <c r="M64" i="117"/>
  <c r="M65" i="117"/>
  <c r="M66" i="117"/>
  <c r="M67" i="117"/>
  <c r="L69" i="117"/>
  <c r="L70" i="117"/>
  <c r="L71" i="117"/>
  <c r="M69" i="117"/>
  <c r="M70" i="117"/>
  <c r="M71" i="117"/>
  <c r="AA9" i="136" l="1"/>
  <c r="AA9" i="134"/>
  <c r="W9" i="109"/>
  <c r="X27" i="142"/>
  <c r="W10" i="136"/>
  <c r="W10" i="134"/>
  <c r="K9" i="121"/>
  <c r="J9" i="121"/>
  <c r="X8" i="134"/>
  <c r="X8" i="136"/>
  <c r="Y25" i="142"/>
  <c r="V36" i="135"/>
  <c r="T14" i="109" s="1"/>
  <c r="R21" i="121" s="1"/>
  <c r="X26" i="135"/>
  <c r="X25" i="135"/>
  <c r="X24" i="135"/>
  <c r="W27" i="135"/>
  <c r="X12" i="135"/>
  <c r="X11" i="135"/>
  <c r="X13" i="135"/>
  <c r="W17" i="142"/>
  <c r="X23" i="135"/>
  <c r="X10" i="142"/>
  <c r="Y10" i="135"/>
  <c r="W24" i="142"/>
  <c r="V8" i="109"/>
  <c r="X15" i="142"/>
  <c r="Y21" i="135"/>
  <c r="AB28" i="135"/>
  <c r="AB30" i="135"/>
  <c r="AB29" i="135"/>
  <c r="W14" i="135"/>
  <c r="W19" i="135" s="1"/>
  <c r="AC30" i="135"/>
  <c r="AC28" i="135"/>
  <c r="AC29" i="135"/>
  <c r="S19" i="121"/>
  <c r="T19" i="121"/>
  <c r="O22" i="139"/>
  <c r="S14" i="109"/>
  <c r="R20" i="121" s="1"/>
  <c r="X8" i="142"/>
  <c r="Y8" i="135"/>
  <c r="AA31" i="135"/>
  <c r="AA35" i="135" s="1"/>
  <c r="U21" i="139" s="1"/>
  <c r="V34" i="135"/>
  <c r="P20" i="139" s="1"/>
  <c r="F12" i="139"/>
  <c r="J18" i="134"/>
  <c r="J22" i="134"/>
  <c r="F16" i="139"/>
  <c r="E14" i="139"/>
  <c r="I12" i="109"/>
  <c r="J10" i="121" s="1"/>
  <c r="I13" i="109"/>
  <c r="K10" i="121" s="1"/>
  <c r="E18" i="139"/>
  <c r="L21" i="134"/>
  <c r="H17" i="139" s="1"/>
  <c r="L17" i="134"/>
  <c r="H13" i="139" s="1"/>
  <c r="K20" i="134"/>
  <c r="K16" i="134"/>
  <c r="P69" i="117"/>
  <c r="N69" i="117"/>
  <c r="P65" i="117"/>
  <c r="N65" i="117"/>
  <c r="P61" i="117"/>
  <c r="N61" i="117"/>
  <c r="M57" i="117"/>
  <c r="F5" i="111"/>
  <c r="L56" i="117"/>
  <c r="F9" i="111"/>
  <c r="M68" i="117"/>
  <c r="P64" i="117"/>
  <c r="N64" i="117"/>
  <c r="N71" i="117"/>
  <c r="P71" i="117"/>
  <c r="N67" i="117"/>
  <c r="P67" i="117"/>
  <c r="N63" i="117"/>
  <c r="P63" i="117"/>
  <c r="F22" i="111"/>
  <c r="M59" i="117"/>
  <c r="F7" i="111"/>
  <c r="L59" i="117"/>
  <c r="F12" i="111"/>
  <c r="F20" i="111"/>
  <c r="L57" i="117"/>
  <c r="F10" i="111"/>
  <c r="L68" i="117"/>
  <c r="P60" i="117"/>
  <c r="N60" i="117"/>
  <c r="M56" i="117"/>
  <c r="N70" i="117"/>
  <c r="P70" i="117"/>
  <c r="P66" i="117"/>
  <c r="N66" i="117"/>
  <c r="N62" i="117"/>
  <c r="P62" i="117"/>
  <c r="F21" i="111"/>
  <c r="M58" i="117"/>
  <c r="F6" i="111"/>
  <c r="F30" i="111" s="1"/>
  <c r="L58" i="117"/>
  <c r="M23" i="117"/>
  <c r="M24" i="117"/>
  <c r="M25" i="117"/>
  <c r="L26" i="117"/>
  <c r="L27" i="117"/>
  <c r="L28" i="117"/>
  <c r="L29" i="117"/>
  <c r="M26" i="117"/>
  <c r="M27" i="117"/>
  <c r="M28" i="117"/>
  <c r="M29" i="117"/>
  <c r="L30" i="117"/>
  <c r="L31" i="117"/>
  <c r="L32" i="117"/>
  <c r="L33" i="117"/>
  <c r="M30" i="117"/>
  <c r="M31" i="117"/>
  <c r="M32" i="117"/>
  <c r="M33" i="117"/>
  <c r="L35" i="117"/>
  <c r="P35" i="117" s="1"/>
  <c r="L36" i="117"/>
  <c r="P36" i="117" s="1"/>
  <c r="L37" i="117"/>
  <c r="P37" i="117" s="1"/>
  <c r="X9" i="109" l="1"/>
  <c r="Y27" i="142"/>
  <c r="X10" i="134"/>
  <c r="X10" i="136"/>
  <c r="Z25" i="142"/>
  <c r="Y8" i="134"/>
  <c r="Y8" i="136"/>
  <c r="P22" i="139"/>
  <c r="AB31" i="135"/>
  <c r="AB35" i="135" s="1"/>
  <c r="V21" i="139" s="1"/>
  <c r="X14" i="135"/>
  <c r="X19" i="135" s="1"/>
  <c r="X27" i="135"/>
  <c r="X32" i="135" s="1"/>
  <c r="Y13" i="135"/>
  <c r="Y11" i="135"/>
  <c r="Y12" i="135"/>
  <c r="Z21" i="135"/>
  <c r="Y15" i="142"/>
  <c r="X24" i="142"/>
  <c r="W8" i="109"/>
  <c r="Y23" i="135"/>
  <c r="X17" i="142"/>
  <c r="W32" i="135"/>
  <c r="W36" i="135" s="1"/>
  <c r="W34" i="135"/>
  <c r="Q20" i="139" s="1"/>
  <c r="Z8" i="135"/>
  <c r="Y8" i="142"/>
  <c r="AC31" i="135"/>
  <c r="AC35" i="135" s="1"/>
  <c r="W21" i="139" s="1"/>
  <c r="S20" i="121"/>
  <c r="T20" i="121"/>
  <c r="T21" i="121"/>
  <c r="S21" i="121"/>
  <c r="Y10" i="142"/>
  <c r="Z10" i="135"/>
  <c r="Y24" i="135"/>
  <c r="Y25" i="135"/>
  <c r="Y26" i="135"/>
  <c r="L20" i="134"/>
  <c r="L16" i="134"/>
  <c r="F18" i="139"/>
  <c r="J13" i="109"/>
  <c r="G12" i="139"/>
  <c r="K18" i="134"/>
  <c r="M21" i="134"/>
  <c r="I17" i="139" s="1"/>
  <c r="M17" i="134"/>
  <c r="I13" i="139" s="1"/>
  <c r="J12" i="109"/>
  <c r="J11" i="121" s="1"/>
  <c r="F14" i="139"/>
  <c r="G16" i="139"/>
  <c r="K22" i="134"/>
  <c r="F17" i="111"/>
  <c r="M14" i="117"/>
  <c r="L14" i="117"/>
  <c r="L10" i="117"/>
  <c r="M6" i="117"/>
  <c r="N31" i="117"/>
  <c r="P31" i="117"/>
  <c r="P27" i="117"/>
  <c r="N27" i="117"/>
  <c r="L23" i="117"/>
  <c r="D10" i="111"/>
  <c r="M48" i="117"/>
  <c r="L48" i="117"/>
  <c r="M44" i="117"/>
  <c r="L5" i="117"/>
  <c r="L17" i="117"/>
  <c r="M13" i="117"/>
  <c r="L13" i="117"/>
  <c r="M9" i="117"/>
  <c r="C19" i="111"/>
  <c r="L22" i="117"/>
  <c r="L34" i="117"/>
  <c r="P34" i="117" s="1"/>
  <c r="P26" i="117"/>
  <c r="N26" i="117"/>
  <c r="L39" i="117"/>
  <c r="M51" i="117"/>
  <c r="L51" i="117"/>
  <c r="M47" i="117"/>
  <c r="L47" i="117"/>
  <c r="M43" i="117"/>
  <c r="L43" i="117"/>
  <c r="E19" i="111"/>
  <c r="M39" i="117"/>
  <c r="M20" i="117"/>
  <c r="L20" i="117"/>
  <c r="M16" i="117"/>
  <c r="L16" i="117"/>
  <c r="M12" i="117"/>
  <c r="L12" i="117"/>
  <c r="C22" i="111"/>
  <c r="M8" i="117"/>
  <c r="C7" i="111"/>
  <c r="L8" i="117"/>
  <c r="C12" i="111"/>
  <c r="P33" i="117"/>
  <c r="N33" i="117"/>
  <c r="P29" i="117"/>
  <c r="N29" i="117"/>
  <c r="D22" i="111"/>
  <c r="L25" i="117"/>
  <c r="D12" i="111"/>
  <c r="M54" i="117"/>
  <c r="L54" i="117"/>
  <c r="M50" i="117"/>
  <c r="L50" i="117"/>
  <c r="M46" i="117"/>
  <c r="L46" i="117"/>
  <c r="E22" i="111"/>
  <c r="M42" i="117"/>
  <c r="E7" i="111"/>
  <c r="L42" i="117"/>
  <c r="E12" i="111"/>
  <c r="F11" i="111"/>
  <c r="F4" i="111"/>
  <c r="F14" i="111" s="1"/>
  <c r="P57" i="117"/>
  <c r="N57" i="117"/>
  <c r="P56" i="117"/>
  <c r="N56" i="117"/>
  <c r="M18" i="117"/>
  <c r="L18" i="117"/>
  <c r="M10" i="117"/>
  <c r="L6" i="117"/>
  <c r="C10" i="111"/>
  <c r="D20" i="111"/>
  <c r="M52" i="117"/>
  <c r="L52" i="117"/>
  <c r="L44" i="117"/>
  <c r="M40" i="117"/>
  <c r="E5" i="111"/>
  <c r="L40" i="117"/>
  <c r="E10" i="111"/>
  <c r="L9" i="117"/>
  <c r="M5" i="117"/>
  <c r="C4" i="111"/>
  <c r="P30" i="117"/>
  <c r="N30" i="117"/>
  <c r="M22" i="117"/>
  <c r="F15" i="111"/>
  <c r="P59" i="117"/>
  <c r="N59" i="117"/>
  <c r="M19" i="117"/>
  <c r="L19" i="117"/>
  <c r="M15" i="117"/>
  <c r="L15" i="117"/>
  <c r="M11" i="117"/>
  <c r="L11" i="117"/>
  <c r="C21" i="111"/>
  <c r="M7" i="117"/>
  <c r="C6" i="111"/>
  <c r="C30" i="111" s="1"/>
  <c r="C31" i="111" s="1"/>
  <c r="L7" i="117"/>
  <c r="C11" i="111"/>
  <c r="N32" i="117"/>
  <c r="P32" i="117"/>
  <c r="N28" i="117"/>
  <c r="P28" i="117"/>
  <c r="D21" i="111"/>
  <c r="L24" i="117"/>
  <c r="D11" i="111"/>
  <c r="D32" i="111" s="1"/>
  <c r="M53" i="117"/>
  <c r="L53" i="117"/>
  <c r="M49" i="117"/>
  <c r="L49" i="117"/>
  <c r="M45" i="117"/>
  <c r="L45" i="117"/>
  <c r="E21" i="111"/>
  <c r="M41" i="117"/>
  <c r="E6" i="111"/>
  <c r="E30" i="111" s="1"/>
  <c r="L41" i="117"/>
  <c r="E11" i="111"/>
  <c r="P58" i="117"/>
  <c r="N58" i="117"/>
  <c r="N68" i="117"/>
  <c r="P68" i="117"/>
  <c r="F19" i="111"/>
  <c r="D7" i="111"/>
  <c r="M37" i="117"/>
  <c r="N37" i="117" s="1"/>
  <c r="D5" i="111"/>
  <c r="M35" i="117"/>
  <c r="N35" i="117" s="1"/>
  <c r="D6" i="111"/>
  <c r="D30" i="111" s="1"/>
  <c r="M36" i="117"/>
  <c r="N36" i="117" s="1"/>
  <c r="D4" i="111"/>
  <c r="M34" i="117"/>
  <c r="D804" i="117"/>
  <c r="D803" i="117"/>
  <c r="D802" i="117"/>
  <c r="D801" i="117"/>
  <c r="D800" i="117"/>
  <c r="D799" i="117"/>
  <c r="D798" i="117"/>
  <c r="D797" i="117"/>
  <c r="D796" i="117"/>
  <c r="D795" i="117"/>
  <c r="D794" i="117"/>
  <c r="D793" i="117"/>
  <c r="D792" i="117"/>
  <c r="D791" i="117"/>
  <c r="D790" i="117"/>
  <c r="D789" i="117"/>
  <c r="D788" i="117"/>
  <c r="D787" i="117"/>
  <c r="D786" i="117"/>
  <c r="D785" i="117"/>
  <c r="D784" i="117"/>
  <c r="D783" i="117"/>
  <c r="D782" i="117"/>
  <c r="D781" i="117"/>
  <c r="D780" i="117"/>
  <c r="D779" i="117"/>
  <c r="D778" i="117"/>
  <c r="D777" i="117"/>
  <c r="D776" i="117"/>
  <c r="D775" i="117"/>
  <c r="D774" i="117"/>
  <c r="D773" i="117"/>
  <c r="D772" i="117"/>
  <c r="D771" i="117"/>
  <c r="D770" i="117"/>
  <c r="D769" i="117"/>
  <c r="D768" i="117"/>
  <c r="D767" i="117"/>
  <c r="D766" i="117"/>
  <c r="D765" i="117"/>
  <c r="D764" i="117"/>
  <c r="D763" i="117"/>
  <c r="D762" i="117"/>
  <c r="D761" i="117"/>
  <c r="D760" i="117"/>
  <c r="D759" i="117"/>
  <c r="D758" i="117"/>
  <c r="D757" i="117"/>
  <c r="D756" i="117"/>
  <c r="D755" i="117"/>
  <c r="D754" i="117"/>
  <c r="D753" i="117"/>
  <c r="D752" i="117"/>
  <c r="D751" i="117"/>
  <c r="D750" i="117"/>
  <c r="D749" i="117"/>
  <c r="D748" i="117"/>
  <c r="D747" i="117"/>
  <c r="D746" i="117"/>
  <c r="D745" i="117"/>
  <c r="D744" i="117"/>
  <c r="D743" i="117"/>
  <c r="D742" i="117"/>
  <c r="D741" i="117"/>
  <c r="D740" i="117"/>
  <c r="D739" i="117"/>
  <c r="D738" i="117"/>
  <c r="D737" i="117"/>
  <c r="D736" i="117"/>
  <c r="D735" i="117"/>
  <c r="D734" i="117"/>
  <c r="D733" i="117"/>
  <c r="D732" i="117"/>
  <c r="D731" i="117"/>
  <c r="D730" i="117"/>
  <c r="D729" i="117"/>
  <c r="D728" i="117"/>
  <c r="D727" i="117"/>
  <c r="D726" i="117"/>
  <c r="D725" i="117"/>
  <c r="D724" i="117"/>
  <c r="D723" i="117"/>
  <c r="D722" i="117"/>
  <c r="D721" i="117"/>
  <c r="D720" i="117"/>
  <c r="D719" i="117"/>
  <c r="D718" i="117"/>
  <c r="D717" i="117"/>
  <c r="D716" i="117"/>
  <c r="D715" i="117"/>
  <c r="D714" i="117"/>
  <c r="D713" i="117"/>
  <c r="D712" i="117"/>
  <c r="D711" i="117"/>
  <c r="D710" i="117"/>
  <c r="D709" i="117"/>
  <c r="D708" i="117"/>
  <c r="D707" i="117"/>
  <c r="D706" i="117"/>
  <c r="D705" i="117"/>
  <c r="D704" i="117"/>
  <c r="D703" i="117"/>
  <c r="D702" i="117"/>
  <c r="D701" i="117"/>
  <c r="D700" i="117"/>
  <c r="D699" i="117"/>
  <c r="D698" i="117"/>
  <c r="D697" i="117"/>
  <c r="D696" i="117"/>
  <c r="D695" i="117"/>
  <c r="D694" i="117"/>
  <c r="D693" i="117"/>
  <c r="D692" i="117"/>
  <c r="D691" i="117"/>
  <c r="D690" i="117"/>
  <c r="D689" i="117"/>
  <c r="D688" i="117"/>
  <c r="D687" i="117"/>
  <c r="D686" i="117"/>
  <c r="D685" i="117"/>
  <c r="D684" i="117"/>
  <c r="D683" i="117"/>
  <c r="D682" i="117"/>
  <c r="D681" i="117"/>
  <c r="D680" i="117"/>
  <c r="D679" i="117"/>
  <c r="D678" i="117"/>
  <c r="D677" i="117"/>
  <c r="D676" i="117"/>
  <c r="D675" i="117"/>
  <c r="D674" i="117"/>
  <c r="D673" i="117"/>
  <c r="D672" i="117"/>
  <c r="D671" i="117"/>
  <c r="D670" i="117"/>
  <c r="D669" i="117"/>
  <c r="D668" i="117"/>
  <c r="D667" i="117"/>
  <c r="D666" i="117"/>
  <c r="D665" i="117"/>
  <c r="D664" i="117"/>
  <c r="D663" i="117"/>
  <c r="D662" i="117"/>
  <c r="D661" i="117"/>
  <c r="D660" i="117"/>
  <c r="D659" i="117"/>
  <c r="D658" i="117"/>
  <c r="D657" i="117"/>
  <c r="D656" i="117"/>
  <c r="D655" i="117"/>
  <c r="D654" i="117"/>
  <c r="D653" i="117"/>
  <c r="D652" i="117"/>
  <c r="D651" i="117"/>
  <c r="D650" i="117"/>
  <c r="D649" i="117"/>
  <c r="D648" i="117"/>
  <c r="D647" i="117"/>
  <c r="D646" i="117"/>
  <c r="D645" i="117"/>
  <c r="D644" i="117"/>
  <c r="D643" i="117"/>
  <c r="D642" i="117"/>
  <c r="D641" i="117"/>
  <c r="D640" i="117"/>
  <c r="D639" i="117"/>
  <c r="D638" i="117"/>
  <c r="D637" i="117"/>
  <c r="D636" i="117"/>
  <c r="D635" i="117"/>
  <c r="D634" i="117"/>
  <c r="D633" i="117"/>
  <c r="D632" i="117"/>
  <c r="D631" i="117"/>
  <c r="D630" i="117"/>
  <c r="D629" i="117"/>
  <c r="D628" i="117"/>
  <c r="D627" i="117"/>
  <c r="D626" i="117"/>
  <c r="D625" i="117"/>
  <c r="D624" i="117"/>
  <c r="D623" i="117"/>
  <c r="D622" i="117"/>
  <c r="D621" i="117"/>
  <c r="D620" i="117"/>
  <c r="D619" i="117"/>
  <c r="D618" i="117"/>
  <c r="D617" i="117"/>
  <c r="D616" i="117"/>
  <c r="D615" i="117"/>
  <c r="D614" i="117"/>
  <c r="D613" i="117"/>
  <c r="D612" i="117"/>
  <c r="D611" i="117"/>
  <c r="D610" i="117"/>
  <c r="D609" i="117"/>
  <c r="D608" i="117"/>
  <c r="D607" i="117"/>
  <c r="D606" i="117"/>
  <c r="D605" i="117"/>
  <c r="D604" i="117"/>
  <c r="D603" i="117"/>
  <c r="D602" i="117"/>
  <c r="D601" i="117"/>
  <c r="D600" i="117"/>
  <c r="D599" i="117"/>
  <c r="D598" i="117"/>
  <c r="D597" i="117"/>
  <c r="D596" i="117"/>
  <c r="D595" i="117"/>
  <c r="D594" i="117"/>
  <c r="D593" i="117"/>
  <c r="D592" i="117"/>
  <c r="D591" i="117"/>
  <c r="D590" i="117"/>
  <c r="D589" i="117"/>
  <c r="D588" i="117"/>
  <c r="D587" i="117"/>
  <c r="D586" i="117"/>
  <c r="D585" i="117"/>
  <c r="D584" i="117"/>
  <c r="D583" i="117"/>
  <c r="D582" i="117"/>
  <c r="D581" i="117"/>
  <c r="D580" i="117"/>
  <c r="D579" i="117"/>
  <c r="D578" i="117"/>
  <c r="D577" i="117"/>
  <c r="D576" i="117"/>
  <c r="D575" i="117"/>
  <c r="D574" i="117"/>
  <c r="D573" i="117"/>
  <c r="D572" i="117"/>
  <c r="D571" i="117"/>
  <c r="D570" i="117"/>
  <c r="D569" i="117"/>
  <c r="D568" i="117"/>
  <c r="D567" i="117"/>
  <c r="D566" i="117"/>
  <c r="D565" i="117"/>
  <c r="D564" i="117"/>
  <c r="D563" i="117"/>
  <c r="D562" i="117"/>
  <c r="D561" i="117"/>
  <c r="D560" i="117"/>
  <c r="D559" i="117"/>
  <c r="D558" i="117"/>
  <c r="D557" i="117"/>
  <c r="D556" i="117"/>
  <c r="D555" i="117"/>
  <c r="D554" i="117"/>
  <c r="D553" i="117"/>
  <c r="D552" i="117"/>
  <c r="D551" i="117"/>
  <c r="D550" i="117"/>
  <c r="D549" i="117"/>
  <c r="D548" i="117"/>
  <c r="D547" i="117"/>
  <c r="D546" i="117"/>
  <c r="D545" i="117"/>
  <c r="D544" i="117"/>
  <c r="D543" i="117"/>
  <c r="D542" i="117"/>
  <c r="D541" i="117"/>
  <c r="D540" i="117"/>
  <c r="D539" i="117"/>
  <c r="D538" i="117"/>
  <c r="D537" i="117"/>
  <c r="D536" i="117"/>
  <c r="D535" i="117"/>
  <c r="D534" i="117"/>
  <c r="D533" i="117"/>
  <c r="D532" i="117"/>
  <c r="D531" i="117"/>
  <c r="D530" i="117"/>
  <c r="D529" i="117"/>
  <c r="D528" i="117"/>
  <c r="D527" i="117"/>
  <c r="D526" i="117"/>
  <c r="D525" i="117"/>
  <c r="D524" i="117"/>
  <c r="D523" i="117"/>
  <c r="D522" i="117"/>
  <c r="D521" i="117"/>
  <c r="D520" i="117"/>
  <c r="D519" i="117"/>
  <c r="D518" i="117"/>
  <c r="D517" i="117"/>
  <c r="D516" i="117"/>
  <c r="D515" i="117"/>
  <c r="D514" i="117"/>
  <c r="D513" i="117"/>
  <c r="D512" i="117"/>
  <c r="D511" i="117"/>
  <c r="D510" i="117"/>
  <c r="D509" i="117"/>
  <c r="D508" i="117"/>
  <c r="D507" i="117"/>
  <c r="D506" i="117"/>
  <c r="D505" i="117"/>
  <c r="D504" i="117"/>
  <c r="D503" i="117"/>
  <c r="D502" i="117"/>
  <c r="D501" i="117"/>
  <c r="D500" i="117"/>
  <c r="D499" i="117"/>
  <c r="D498" i="117"/>
  <c r="D497" i="117"/>
  <c r="D496" i="117"/>
  <c r="D495" i="117"/>
  <c r="D494" i="117"/>
  <c r="D493" i="117"/>
  <c r="D492" i="117"/>
  <c r="D491" i="117"/>
  <c r="D490" i="117"/>
  <c r="D489" i="117"/>
  <c r="D488" i="117"/>
  <c r="D487" i="117"/>
  <c r="D486" i="117"/>
  <c r="D485" i="117"/>
  <c r="D484" i="117"/>
  <c r="D483" i="117"/>
  <c r="D482" i="117"/>
  <c r="D481" i="117"/>
  <c r="D480" i="117"/>
  <c r="D479" i="117"/>
  <c r="D478" i="117"/>
  <c r="D477" i="117"/>
  <c r="D476" i="117"/>
  <c r="D475" i="117"/>
  <c r="D474" i="117"/>
  <c r="D473" i="117"/>
  <c r="D472" i="117"/>
  <c r="D471" i="117"/>
  <c r="D470" i="117"/>
  <c r="D469" i="117"/>
  <c r="D468" i="117"/>
  <c r="D467" i="117"/>
  <c r="D466" i="117"/>
  <c r="D465" i="117"/>
  <c r="D464" i="117"/>
  <c r="D463" i="117"/>
  <c r="D462" i="117"/>
  <c r="D461" i="117"/>
  <c r="D460" i="117"/>
  <c r="D459" i="117"/>
  <c r="D458" i="117"/>
  <c r="D457" i="117"/>
  <c r="D456" i="117"/>
  <c r="D455" i="117"/>
  <c r="D454" i="117"/>
  <c r="D453" i="117"/>
  <c r="D452" i="117"/>
  <c r="D451" i="117"/>
  <c r="D450" i="117"/>
  <c r="D449" i="117"/>
  <c r="D448" i="117"/>
  <c r="D447" i="117"/>
  <c r="D446" i="117"/>
  <c r="D445" i="117"/>
  <c r="D444" i="117"/>
  <c r="D443" i="117"/>
  <c r="D442" i="117"/>
  <c r="D441" i="117"/>
  <c r="D440" i="117"/>
  <c r="D439" i="117"/>
  <c r="D438" i="117"/>
  <c r="D437" i="117"/>
  <c r="D436" i="117"/>
  <c r="D435" i="117"/>
  <c r="D434" i="117"/>
  <c r="D433" i="117"/>
  <c r="D432" i="117"/>
  <c r="D431" i="117"/>
  <c r="D430" i="117"/>
  <c r="D429" i="117"/>
  <c r="D428" i="117"/>
  <c r="D427" i="117"/>
  <c r="D426" i="117"/>
  <c r="D425" i="117"/>
  <c r="D424" i="117"/>
  <c r="D423" i="117"/>
  <c r="D422" i="117"/>
  <c r="D421" i="117"/>
  <c r="D420" i="117"/>
  <c r="D419" i="117"/>
  <c r="D418" i="117"/>
  <c r="D417" i="117"/>
  <c r="D416" i="117"/>
  <c r="D415" i="117"/>
  <c r="D414" i="117"/>
  <c r="D412" i="117"/>
  <c r="D411" i="117"/>
  <c r="D410" i="117"/>
  <c r="D409" i="117"/>
  <c r="D408" i="117"/>
  <c r="D407" i="117"/>
  <c r="D406" i="117"/>
  <c r="D405" i="117"/>
  <c r="D404" i="117"/>
  <c r="D403" i="117"/>
  <c r="D402" i="117"/>
  <c r="D401" i="117"/>
  <c r="D400" i="117"/>
  <c r="D399" i="117"/>
  <c r="D398" i="117"/>
  <c r="D397" i="117"/>
  <c r="D396" i="117"/>
  <c r="D395" i="117"/>
  <c r="D394" i="117"/>
  <c r="D393" i="117"/>
  <c r="D392" i="117"/>
  <c r="D391" i="117"/>
  <c r="D390" i="117"/>
  <c r="D389" i="117"/>
  <c r="D388" i="117"/>
  <c r="D387" i="117"/>
  <c r="D386" i="117"/>
  <c r="D385" i="117"/>
  <c r="D384" i="117"/>
  <c r="D383" i="117"/>
  <c r="D382" i="117"/>
  <c r="D381" i="117"/>
  <c r="D380" i="117"/>
  <c r="D379" i="117"/>
  <c r="D378" i="117"/>
  <c r="D377" i="117"/>
  <c r="D376" i="117"/>
  <c r="D375" i="117"/>
  <c r="D374" i="117"/>
  <c r="D373" i="117"/>
  <c r="D372" i="117"/>
  <c r="D371" i="117"/>
  <c r="D370" i="117"/>
  <c r="D369" i="117"/>
  <c r="D368" i="117"/>
  <c r="D367" i="117"/>
  <c r="D366" i="117"/>
  <c r="D365" i="117"/>
  <c r="D364" i="117"/>
  <c r="D363" i="117"/>
  <c r="D362" i="117"/>
  <c r="D361" i="117"/>
  <c r="D360" i="117"/>
  <c r="D359" i="117"/>
  <c r="D358" i="117"/>
  <c r="D357" i="117"/>
  <c r="D356" i="117"/>
  <c r="D355" i="117"/>
  <c r="D354" i="117"/>
  <c r="D353" i="117"/>
  <c r="D352" i="117"/>
  <c r="D351" i="117"/>
  <c r="D350" i="117"/>
  <c r="D349" i="117"/>
  <c r="D348" i="117"/>
  <c r="D347" i="117"/>
  <c r="D346" i="117"/>
  <c r="D345" i="117"/>
  <c r="D343" i="117"/>
  <c r="D342" i="117"/>
  <c r="D341" i="117"/>
  <c r="D340" i="117"/>
  <c r="D339" i="117"/>
  <c r="D338" i="117"/>
  <c r="D337" i="117"/>
  <c r="D336" i="117"/>
  <c r="D335" i="117"/>
  <c r="D334" i="117"/>
  <c r="D333" i="117"/>
  <c r="D332" i="117"/>
  <c r="D331" i="117"/>
  <c r="D330" i="117"/>
  <c r="D329" i="117"/>
  <c r="D328" i="117"/>
  <c r="D327" i="117"/>
  <c r="D326" i="117"/>
  <c r="D325" i="117"/>
  <c r="D324" i="117"/>
  <c r="D323" i="117"/>
  <c r="D322" i="117"/>
  <c r="D321" i="117"/>
  <c r="D320" i="117"/>
  <c r="D319" i="117"/>
  <c r="D318" i="117"/>
  <c r="D317" i="117"/>
  <c r="D314" i="117"/>
  <c r="D313" i="117"/>
  <c r="D312" i="117"/>
  <c r="D311" i="117"/>
  <c r="D310" i="117"/>
  <c r="D309" i="117"/>
  <c r="D308" i="117"/>
  <c r="D307" i="117"/>
  <c r="D306" i="117"/>
  <c r="D305" i="117"/>
  <c r="D304" i="117"/>
  <c r="D303" i="117"/>
  <c r="D302" i="117"/>
  <c r="D301" i="117"/>
  <c r="D300" i="117"/>
  <c r="D299" i="117"/>
  <c r="D298" i="117"/>
  <c r="D297" i="117"/>
  <c r="D296" i="117"/>
  <c r="D295" i="117"/>
  <c r="D294" i="117"/>
  <c r="D293" i="117"/>
  <c r="D292" i="117"/>
  <c r="D291" i="117"/>
  <c r="D290" i="117"/>
  <c r="D289" i="117"/>
  <c r="D288" i="117"/>
  <c r="D287" i="117"/>
  <c r="D286" i="117"/>
  <c r="D285" i="117"/>
  <c r="D284" i="117"/>
  <c r="D283" i="117"/>
  <c r="D282" i="117"/>
  <c r="D281" i="117"/>
  <c r="D280" i="117"/>
  <c r="D279" i="117"/>
  <c r="D278" i="117"/>
  <c r="D277" i="117"/>
  <c r="D276" i="117"/>
  <c r="D275" i="117"/>
  <c r="D274" i="117"/>
  <c r="D273" i="117"/>
  <c r="D272" i="117"/>
  <c r="D271" i="117"/>
  <c r="D270" i="117"/>
  <c r="D269" i="117"/>
  <c r="D268" i="117"/>
  <c r="D267" i="117"/>
  <c r="D266" i="117"/>
  <c r="D265" i="117"/>
  <c r="D264" i="117"/>
  <c r="D263" i="117"/>
  <c r="D262" i="117"/>
  <c r="D261" i="117"/>
  <c r="D260" i="117"/>
  <c r="D259" i="117"/>
  <c r="D258" i="117"/>
  <c r="D257" i="117"/>
  <c r="D256" i="117"/>
  <c r="D255" i="117"/>
  <c r="D254" i="117"/>
  <c r="D253" i="117"/>
  <c r="D252" i="117"/>
  <c r="D251" i="117"/>
  <c r="D250" i="117"/>
  <c r="D249" i="117"/>
  <c r="D248" i="117"/>
  <c r="D247" i="117"/>
  <c r="D246" i="117"/>
  <c r="D245" i="117"/>
  <c r="D244" i="117"/>
  <c r="D243" i="117"/>
  <c r="D242" i="117"/>
  <c r="D241" i="117"/>
  <c r="D240" i="117"/>
  <c r="D239" i="117"/>
  <c r="D238" i="117"/>
  <c r="D237" i="117"/>
  <c r="D236" i="117"/>
  <c r="D235" i="117"/>
  <c r="D234" i="117"/>
  <c r="D233" i="117"/>
  <c r="D232" i="117"/>
  <c r="D231" i="117"/>
  <c r="D230" i="117"/>
  <c r="D229" i="117"/>
  <c r="D228" i="117"/>
  <c r="D227" i="117"/>
  <c r="D226" i="117"/>
  <c r="D225" i="117"/>
  <c r="D224" i="117"/>
  <c r="D223" i="117"/>
  <c r="D222" i="117"/>
  <c r="D221" i="117"/>
  <c r="D220" i="117"/>
  <c r="D219" i="117"/>
  <c r="D218" i="117"/>
  <c r="D217" i="117"/>
  <c r="D216" i="117"/>
  <c r="D215" i="117"/>
  <c r="D214" i="117"/>
  <c r="D213" i="117"/>
  <c r="D212" i="117"/>
  <c r="D211" i="117"/>
  <c r="D210" i="117"/>
  <c r="D209" i="117"/>
  <c r="D208" i="117"/>
  <c r="D207" i="117"/>
  <c r="D206" i="117"/>
  <c r="D205" i="117"/>
  <c r="D204" i="117"/>
  <c r="D203" i="117"/>
  <c r="D202" i="117"/>
  <c r="D201" i="117"/>
  <c r="D200" i="117"/>
  <c r="D199" i="117"/>
  <c r="D198" i="117"/>
  <c r="D197" i="117"/>
  <c r="D196" i="117"/>
  <c r="D195" i="117"/>
  <c r="D194" i="117"/>
  <c r="D193" i="117"/>
  <c r="D192" i="117"/>
  <c r="D191" i="117"/>
  <c r="D190" i="117"/>
  <c r="D189" i="117"/>
  <c r="D188" i="117"/>
  <c r="D187" i="117"/>
  <c r="D186" i="117"/>
  <c r="D185" i="117"/>
  <c r="D184" i="117"/>
  <c r="D183" i="117"/>
  <c r="D182" i="117"/>
  <c r="D181" i="117"/>
  <c r="D180" i="117"/>
  <c r="D179" i="117"/>
  <c r="D178" i="117"/>
  <c r="D177" i="117"/>
  <c r="D176" i="117"/>
  <c r="D175" i="117"/>
  <c r="D174" i="117"/>
  <c r="D173" i="117"/>
  <c r="D172" i="117"/>
  <c r="D171" i="117"/>
  <c r="D170" i="117"/>
  <c r="D169" i="117"/>
  <c r="D168" i="117"/>
  <c r="D167" i="117"/>
  <c r="D166" i="117"/>
  <c r="D165" i="117"/>
  <c r="D164" i="117"/>
  <c r="D163" i="117"/>
  <c r="D162" i="117"/>
  <c r="D161" i="117"/>
  <c r="D160" i="117"/>
  <c r="D159" i="117"/>
  <c r="D158" i="117"/>
  <c r="D157" i="117"/>
  <c r="D156" i="117"/>
  <c r="D155" i="117"/>
  <c r="D154" i="117"/>
  <c r="D153" i="117"/>
  <c r="D152" i="117"/>
  <c r="D151" i="117"/>
  <c r="D150" i="117"/>
  <c r="D149" i="117"/>
  <c r="D148" i="117"/>
  <c r="D147" i="117"/>
  <c r="D146" i="117"/>
  <c r="D145" i="117"/>
  <c r="D144" i="117"/>
  <c r="D143" i="117"/>
  <c r="D142" i="117"/>
  <c r="D141" i="117"/>
  <c r="D140" i="117"/>
  <c r="D139" i="117"/>
  <c r="D138" i="117"/>
  <c r="D137" i="117"/>
  <c r="D136" i="117"/>
  <c r="D135" i="117"/>
  <c r="D134" i="117"/>
  <c r="D133" i="117"/>
  <c r="D132" i="117"/>
  <c r="D131" i="117"/>
  <c r="D130" i="117"/>
  <c r="D129" i="117"/>
  <c r="D128" i="117"/>
  <c r="D127" i="117"/>
  <c r="D126" i="117"/>
  <c r="D125" i="117"/>
  <c r="D124" i="117"/>
  <c r="D123" i="117"/>
  <c r="D122" i="117"/>
  <c r="D121" i="117"/>
  <c r="D120" i="117"/>
  <c r="D119" i="117"/>
  <c r="D118" i="117"/>
  <c r="D117" i="117"/>
  <c r="D116" i="117"/>
  <c r="D115" i="117"/>
  <c r="D114" i="117"/>
  <c r="D113" i="117"/>
  <c r="D112" i="117"/>
  <c r="D111" i="117"/>
  <c r="D110" i="117"/>
  <c r="D109" i="117"/>
  <c r="D108" i="117"/>
  <c r="D107" i="117"/>
  <c r="D106" i="117"/>
  <c r="D105" i="117"/>
  <c r="D104" i="117"/>
  <c r="D103" i="117"/>
  <c r="D102" i="117"/>
  <c r="D101" i="117"/>
  <c r="D100" i="117"/>
  <c r="D99" i="117"/>
  <c r="D98" i="117"/>
  <c r="D97" i="117"/>
  <c r="D96" i="117"/>
  <c r="D95" i="117"/>
  <c r="D94" i="117"/>
  <c r="D93" i="117"/>
  <c r="D92" i="117"/>
  <c r="D91" i="117"/>
  <c r="D90" i="117"/>
  <c r="D89" i="117"/>
  <c r="D88" i="117"/>
  <c r="D87" i="117"/>
  <c r="D86" i="117"/>
  <c r="D85" i="117"/>
  <c r="D84" i="117"/>
  <c r="D83" i="117"/>
  <c r="D82" i="117"/>
  <c r="D81" i="117"/>
  <c r="D80" i="117"/>
  <c r="D79" i="117"/>
  <c r="D78" i="117"/>
  <c r="D77" i="117"/>
  <c r="D76" i="117"/>
  <c r="D75" i="117"/>
  <c r="D74" i="117"/>
  <c r="D73" i="117"/>
  <c r="D72" i="117"/>
  <c r="D71" i="117"/>
  <c r="D70" i="117"/>
  <c r="D69" i="117"/>
  <c r="D68" i="117"/>
  <c r="D67" i="117"/>
  <c r="D66" i="117"/>
  <c r="D65" i="117"/>
  <c r="D64" i="117"/>
  <c r="D63" i="117"/>
  <c r="D62" i="117"/>
  <c r="D61" i="117"/>
  <c r="D60" i="117"/>
  <c r="D59" i="117"/>
  <c r="D58" i="117"/>
  <c r="D57" i="117"/>
  <c r="D56" i="117"/>
  <c r="D55" i="117"/>
  <c r="D54" i="117"/>
  <c r="D53" i="117"/>
  <c r="D52" i="117"/>
  <c r="D51" i="117"/>
  <c r="D50" i="117"/>
  <c r="D49" i="117"/>
  <c r="D48" i="117"/>
  <c r="D47" i="117"/>
  <c r="D46" i="117"/>
  <c r="D45" i="117"/>
  <c r="D44" i="117"/>
  <c r="D43" i="117"/>
  <c r="D42" i="117"/>
  <c r="D41" i="117"/>
  <c r="D40" i="117"/>
  <c r="D39" i="117"/>
  <c r="D38" i="117"/>
  <c r="D37" i="117"/>
  <c r="D36" i="117"/>
  <c r="D35" i="117"/>
  <c r="D34" i="117"/>
  <c r="D33" i="117"/>
  <c r="D32" i="117"/>
  <c r="D31" i="117"/>
  <c r="D30" i="117"/>
  <c r="D29" i="117"/>
  <c r="D28" i="117"/>
  <c r="D27" i="117"/>
  <c r="D26" i="117"/>
  <c r="D25" i="117"/>
  <c r="D24" i="117"/>
  <c r="D23" i="117"/>
  <c r="D22" i="117"/>
  <c r="D21" i="117"/>
  <c r="D20" i="117"/>
  <c r="D19" i="117"/>
  <c r="D18" i="117"/>
  <c r="D17" i="117"/>
  <c r="D16" i="117"/>
  <c r="D15" i="117"/>
  <c r="D14" i="117"/>
  <c r="D13" i="117"/>
  <c r="D12" i="117"/>
  <c r="D11" i="117"/>
  <c r="D10" i="117"/>
  <c r="D9" i="117"/>
  <c r="D8" i="117"/>
  <c r="D7" i="117"/>
  <c r="D6" i="117"/>
  <c r="D5" i="117"/>
  <c r="F6" i="117"/>
  <c r="F7" i="117"/>
  <c r="F8" i="117"/>
  <c r="F9" i="117"/>
  <c r="F10" i="117"/>
  <c r="F11" i="117"/>
  <c r="F12" i="117"/>
  <c r="F13" i="117"/>
  <c r="F14" i="117"/>
  <c r="F15" i="117"/>
  <c r="F16" i="117"/>
  <c r="F17" i="117"/>
  <c r="F18" i="117"/>
  <c r="F19" i="117"/>
  <c r="F20" i="117"/>
  <c r="F21" i="117"/>
  <c r="F22" i="117"/>
  <c r="F23" i="117"/>
  <c r="F24" i="117"/>
  <c r="F25" i="117"/>
  <c r="F26" i="117"/>
  <c r="F27" i="117"/>
  <c r="F28" i="117"/>
  <c r="F29" i="117"/>
  <c r="F30" i="117"/>
  <c r="F31" i="117"/>
  <c r="F32" i="117"/>
  <c r="F33" i="117"/>
  <c r="F34" i="117"/>
  <c r="F35" i="117"/>
  <c r="F36" i="117"/>
  <c r="F37" i="117"/>
  <c r="F38" i="117"/>
  <c r="F39" i="117"/>
  <c r="F40" i="117"/>
  <c r="F41" i="117"/>
  <c r="F42" i="117"/>
  <c r="F43" i="117"/>
  <c r="F44" i="117"/>
  <c r="F45" i="117"/>
  <c r="F46" i="117"/>
  <c r="F47" i="117"/>
  <c r="F48" i="117"/>
  <c r="F49" i="117"/>
  <c r="F50" i="117"/>
  <c r="F51" i="117"/>
  <c r="F52" i="117"/>
  <c r="F53" i="117"/>
  <c r="F54" i="117"/>
  <c r="F55" i="117"/>
  <c r="F56" i="117"/>
  <c r="F57" i="117"/>
  <c r="F58" i="117"/>
  <c r="F59" i="117"/>
  <c r="F60" i="117"/>
  <c r="F61" i="117"/>
  <c r="F62" i="117"/>
  <c r="F63" i="117"/>
  <c r="F64" i="117"/>
  <c r="F65" i="117"/>
  <c r="F66" i="117"/>
  <c r="F67" i="117"/>
  <c r="F68" i="117"/>
  <c r="F69" i="117"/>
  <c r="F70" i="117"/>
  <c r="F71" i="117"/>
  <c r="F72" i="117"/>
  <c r="F73" i="117"/>
  <c r="F74" i="117"/>
  <c r="F75" i="117"/>
  <c r="F76" i="117"/>
  <c r="F77" i="117"/>
  <c r="F78" i="117"/>
  <c r="F79" i="117"/>
  <c r="F80" i="117"/>
  <c r="F81" i="117"/>
  <c r="F82" i="117"/>
  <c r="F83" i="117"/>
  <c r="F84" i="117"/>
  <c r="F85" i="117"/>
  <c r="F86" i="117"/>
  <c r="F87" i="117"/>
  <c r="F88" i="117"/>
  <c r="F89" i="117"/>
  <c r="F90" i="117"/>
  <c r="F91" i="117"/>
  <c r="F92" i="117"/>
  <c r="F93" i="117"/>
  <c r="F94" i="117"/>
  <c r="F95" i="117"/>
  <c r="F96" i="117"/>
  <c r="F97" i="117"/>
  <c r="F98" i="117"/>
  <c r="F99" i="117"/>
  <c r="F100" i="117"/>
  <c r="F101" i="117"/>
  <c r="F102" i="117"/>
  <c r="F103" i="117"/>
  <c r="F104" i="117"/>
  <c r="F105" i="117"/>
  <c r="F106" i="117"/>
  <c r="F107" i="117"/>
  <c r="F108" i="117"/>
  <c r="F109" i="117"/>
  <c r="F110" i="117"/>
  <c r="F111" i="117"/>
  <c r="F112" i="117"/>
  <c r="F113" i="117"/>
  <c r="F114" i="117"/>
  <c r="F115" i="117"/>
  <c r="F116" i="117"/>
  <c r="F117" i="117"/>
  <c r="F118" i="117"/>
  <c r="F119" i="117"/>
  <c r="F120" i="117"/>
  <c r="F121" i="117"/>
  <c r="F122" i="117"/>
  <c r="F123" i="117"/>
  <c r="F124" i="117"/>
  <c r="F125" i="117"/>
  <c r="F126" i="117"/>
  <c r="F127" i="117"/>
  <c r="F128" i="117"/>
  <c r="F129" i="117"/>
  <c r="F130" i="117"/>
  <c r="F131" i="117"/>
  <c r="F132" i="117"/>
  <c r="F133" i="117"/>
  <c r="F134" i="117"/>
  <c r="F135" i="117"/>
  <c r="F136" i="117"/>
  <c r="F137" i="117"/>
  <c r="F138" i="117"/>
  <c r="F139" i="117"/>
  <c r="F140" i="117"/>
  <c r="F141" i="117"/>
  <c r="F142" i="117"/>
  <c r="F143" i="117"/>
  <c r="F144" i="117"/>
  <c r="F145" i="117"/>
  <c r="F146" i="117"/>
  <c r="F147" i="117"/>
  <c r="F148" i="117"/>
  <c r="F149" i="117"/>
  <c r="F150" i="117"/>
  <c r="F151" i="117"/>
  <c r="F152" i="117"/>
  <c r="F153" i="117"/>
  <c r="F154" i="117"/>
  <c r="F155" i="117"/>
  <c r="F156" i="117"/>
  <c r="F157" i="117"/>
  <c r="F158" i="117"/>
  <c r="F159" i="117"/>
  <c r="F160" i="117"/>
  <c r="F161" i="117"/>
  <c r="F162" i="117"/>
  <c r="F163" i="117"/>
  <c r="F164" i="117"/>
  <c r="F165" i="117"/>
  <c r="F166" i="117"/>
  <c r="F167" i="117"/>
  <c r="F168" i="117"/>
  <c r="F169" i="117"/>
  <c r="F170" i="117"/>
  <c r="F171" i="117"/>
  <c r="F172" i="117"/>
  <c r="F173" i="117"/>
  <c r="F174" i="117"/>
  <c r="F175" i="117"/>
  <c r="F176" i="117"/>
  <c r="F177" i="117"/>
  <c r="F178" i="117"/>
  <c r="F179" i="117"/>
  <c r="F180" i="117"/>
  <c r="F181" i="117"/>
  <c r="F182" i="117"/>
  <c r="F183" i="117"/>
  <c r="F184" i="117"/>
  <c r="F185" i="117"/>
  <c r="F186" i="117"/>
  <c r="F187" i="117"/>
  <c r="F188" i="117"/>
  <c r="F189" i="117"/>
  <c r="F190" i="117"/>
  <c r="F191" i="117"/>
  <c r="F192" i="117"/>
  <c r="F193" i="117"/>
  <c r="F194" i="117"/>
  <c r="F195" i="117"/>
  <c r="F196" i="117"/>
  <c r="F197" i="117"/>
  <c r="F198" i="117"/>
  <c r="F199" i="117"/>
  <c r="F200" i="117"/>
  <c r="F201" i="117"/>
  <c r="F202" i="117"/>
  <c r="F203" i="117"/>
  <c r="F204" i="117"/>
  <c r="F205" i="117"/>
  <c r="F206" i="117"/>
  <c r="F207" i="117"/>
  <c r="F208" i="117"/>
  <c r="F209" i="117"/>
  <c r="F210" i="117"/>
  <c r="F211" i="117"/>
  <c r="F212" i="117"/>
  <c r="F213" i="117"/>
  <c r="F214" i="117"/>
  <c r="F215" i="117"/>
  <c r="F216" i="117"/>
  <c r="F217" i="117"/>
  <c r="F218" i="117"/>
  <c r="F219" i="117"/>
  <c r="F220" i="117"/>
  <c r="F221" i="117"/>
  <c r="F222" i="117"/>
  <c r="F223" i="117"/>
  <c r="F224" i="117"/>
  <c r="F225" i="117"/>
  <c r="F226" i="117"/>
  <c r="F227" i="117"/>
  <c r="F228" i="117"/>
  <c r="F229" i="117"/>
  <c r="F230" i="117"/>
  <c r="F231" i="117"/>
  <c r="F232" i="117"/>
  <c r="F233" i="117"/>
  <c r="F234" i="117"/>
  <c r="F235" i="117"/>
  <c r="F236" i="117"/>
  <c r="F237" i="117"/>
  <c r="F238" i="117"/>
  <c r="F239" i="117"/>
  <c r="F240" i="117"/>
  <c r="F241" i="117"/>
  <c r="F242" i="117"/>
  <c r="F243" i="117"/>
  <c r="F244" i="117"/>
  <c r="F245" i="117"/>
  <c r="F246" i="117"/>
  <c r="F247" i="117"/>
  <c r="F248" i="117"/>
  <c r="F249" i="117"/>
  <c r="F250" i="117"/>
  <c r="F251" i="117"/>
  <c r="F252" i="117"/>
  <c r="F253" i="117"/>
  <c r="F254" i="117"/>
  <c r="F255" i="117"/>
  <c r="F256" i="117"/>
  <c r="F257" i="117"/>
  <c r="F258" i="117"/>
  <c r="F259" i="117"/>
  <c r="F260" i="117"/>
  <c r="F261" i="117"/>
  <c r="F262" i="117"/>
  <c r="F263" i="117"/>
  <c r="F264" i="117"/>
  <c r="F265" i="117"/>
  <c r="F266" i="117"/>
  <c r="F267" i="117"/>
  <c r="F268" i="117"/>
  <c r="F269" i="117"/>
  <c r="F270" i="117"/>
  <c r="F271" i="117"/>
  <c r="F272" i="117"/>
  <c r="F273" i="117"/>
  <c r="F274" i="117"/>
  <c r="F275" i="117"/>
  <c r="F276" i="117"/>
  <c r="F277" i="117"/>
  <c r="F278" i="117"/>
  <c r="F279" i="117"/>
  <c r="F280" i="117"/>
  <c r="F281" i="117"/>
  <c r="F282" i="117"/>
  <c r="F283" i="117"/>
  <c r="F284" i="117"/>
  <c r="F285" i="117"/>
  <c r="F286" i="117"/>
  <c r="F287" i="117"/>
  <c r="F288" i="117"/>
  <c r="F289" i="117"/>
  <c r="F290" i="117"/>
  <c r="F291" i="117"/>
  <c r="F292" i="117"/>
  <c r="F293" i="117"/>
  <c r="F294" i="117"/>
  <c r="F295" i="117"/>
  <c r="F296" i="117"/>
  <c r="F297" i="117"/>
  <c r="F298" i="117"/>
  <c r="F299" i="117"/>
  <c r="F300" i="117"/>
  <c r="F301" i="117"/>
  <c r="F302" i="117"/>
  <c r="F303" i="117"/>
  <c r="F304" i="117"/>
  <c r="F305" i="117"/>
  <c r="F306" i="117"/>
  <c r="F307" i="117"/>
  <c r="F308" i="117"/>
  <c r="F309" i="117"/>
  <c r="F310" i="117"/>
  <c r="F311" i="117"/>
  <c r="F312" i="117"/>
  <c r="F313" i="117"/>
  <c r="F314" i="117"/>
  <c r="F315" i="117"/>
  <c r="F316" i="117"/>
  <c r="F317" i="117"/>
  <c r="F318" i="117"/>
  <c r="F319" i="117"/>
  <c r="F320" i="117"/>
  <c r="F321" i="117"/>
  <c r="F322" i="117"/>
  <c r="F323" i="117"/>
  <c r="F324" i="117"/>
  <c r="F325" i="117"/>
  <c r="F326" i="117"/>
  <c r="F327" i="117"/>
  <c r="F328" i="117"/>
  <c r="F329" i="117"/>
  <c r="F330" i="117"/>
  <c r="F331" i="117"/>
  <c r="F332" i="117"/>
  <c r="F333" i="117"/>
  <c r="F334" i="117"/>
  <c r="F335" i="117"/>
  <c r="F336" i="117"/>
  <c r="F337" i="117"/>
  <c r="F338" i="117"/>
  <c r="F339" i="117"/>
  <c r="F340" i="117"/>
  <c r="F341" i="117"/>
  <c r="F342" i="117"/>
  <c r="F343" i="117"/>
  <c r="F344" i="117"/>
  <c r="F345" i="117"/>
  <c r="F346" i="117"/>
  <c r="F347" i="117"/>
  <c r="F348" i="117"/>
  <c r="F349" i="117"/>
  <c r="F350" i="117"/>
  <c r="F351" i="117"/>
  <c r="F352" i="117"/>
  <c r="F353" i="117"/>
  <c r="F354" i="117"/>
  <c r="F355" i="117"/>
  <c r="F356" i="117"/>
  <c r="F357" i="117"/>
  <c r="F358" i="117"/>
  <c r="F359" i="117"/>
  <c r="F360" i="117"/>
  <c r="F361" i="117"/>
  <c r="F362" i="117"/>
  <c r="F363" i="117"/>
  <c r="F364" i="117"/>
  <c r="F365" i="117"/>
  <c r="F366" i="117"/>
  <c r="F367" i="117"/>
  <c r="F368" i="117"/>
  <c r="F369" i="117"/>
  <c r="F370" i="117"/>
  <c r="F371" i="117"/>
  <c r="F372" i="117"/>
  <c r="F373" i="117"/>
  <c r="F374" i="117"/>
  <c r="F375" i="117"/>
  <c r="F376" i="117"/>
  <c r="F377" i="117"/>
  <c r="F378" i="117"/>
  <c r="F379" i="117"/>
  <c r="F380" i="117"/>
  <c r="F381" i="117"/>
  <c r="F382" i="117"/>
  <c r="F383" i="117"/>
  <c r="F384" i="117"/>
  <c r="F385" i="117"/>
  <c r="F386" i="117"/>
  <c r="F387" i="117"/>
  <c r="F388" i="117"/>
  <c r="F389" i="117"/>
  <c r="F390" i="117"/>
  <c r="F391" i="117"/>
  <c r="F392" i="117"/>
  <c r="F393" i="117"/>
  <c r="F394" i="117"/>
  <c r="F395" i="117"/>
  <c r="F396" i="117"/>
  <c r="F397" i="117"/>
  <c r="F398" i="117"/>
  <c r="F399" i="117"/>
  <c r="F400" i="117"/>
  <c r="F401" i="117"/>
  <c r="F402" i="117"/>
  <c r="F403" i="117"/>
  <c r="F404" i="117"/>
  <c r="F405" i="117"/>
  <c r="F406" i="117"/>
  <c r="F407" i="117"/>
  <c r="F408" i="117"/>
  <c r="F409" i="117"/>
  <c r="F410" i="117"/>
  <c r="F411" i="117"/>
  <c r="F412" i="117"/>
  <c r="F413" i="117"/>
  <c r="F414" i="117"/>
  <c r="F415" i="117"/>
  <c r="F416" i="117"/>
  <c r="F417" i="117"/>
  <c r="F418" i="117"/>
  <c r="F419" i="117"/>
  <c r="F420" i="117"/>
  <c r="F421" i="117"/>
  <c r="F422" i="117"/>
  <c r="F423" i="117"/>
  <c r="F424" i="117"/>
  <c r="F425" i="117"/>
  <c r="F426" i="117"/>
  <c r="F427" i="117"/>
  <c r="F428" i="117"/>
  <c r="F429" i="117"/>
  <c r="F430" i="117"/>
  <c r="F431" i="117"/>
  <c r="F432" i="117"/>
  <c r="F433" i="117"/>
  <c r="F434" i="117"/>
  <c r="F435" i="117"/>
  <c r="F436" i="117"/>
  <c r="F437" i="117"/>
  <c r="F438" i="117"/>
  <c r="F439" i="117"/>
  <c r="F440" i="117"/>
  <c r="F441" i="117"/>
  <c r="F442" i="117"/>
  <c r="F443" i="117"/>
  <c r="F444" i="117"/>
  <c r="F445" i="117"/>
  <c r="F446" i="117"/>
  <c r="F447" i="117"/>
  <c r="F448" i="117"/>
  <c r="F449" i="117"/>
  <c r="F450" i="117"/>
  <c r="F451" i="117"/>
  <c r="F452" i="117"/>
  <c r="F453" i="117"/>
  <c r="F454" i="117"/>
  <c r="F455" i="117"/>
  <c r="F456" i="117"/>
  <c r="F457" i="117"/>
  <c r="F458" i="117"/>
  <c r="F459" i="117"/>
  <c r="F460" i="117"/>
  <c r="F461" i="117"/>
  <c r="F462" i="117"/>
  <c r="F463" i="117"/>
  <c r="F464" i="117"/>
  <c r="F465" i="117"/>
  <c r="F466" i="117"/>
  <c r="F467" i="117"/>
  <c r="F468" i="117"/>
  <c r="F469" i="117"/>
  <c r="F470" i="117"/>
  <c r="F471" i="117"/>
  <c r="F472" i="117"/>
  <c r="F473" i="117"/>
  <c r="F474" i="117"/>
  <c r="F475" i="117"/>
  <c r="F476" i="117"/>
  <c r="F477" i="117"/>
  <c r="F478" i="117"/>
  <c r="F479" i="117"/>
  <c r="F480" i="117"/>
  <c r="F481" i="117"/>
  <c r="F482" i="117"/>
  <c r="F483" i="117"/>
  <c r="F484" i="117"/>
  <c r="F485" i="117"/>
  <c r="F486" i="117"/>
  <c r="F487" i="117"/>
  <c r="F488" i="117"/>
  <c r="F489" i="117"/>
  <c r="F490" i="117"/>
  <c r="F491" i="117"/>
  <c r="F492" i="117"/>
  <c r="F493" i="117"/>
  <c r="F494" i="117"/>
  <c r="F495" i="117"/>
  <c r="F496" i="117"/>
  <c r="F497" i="117"/>
  <c r="F498" i="117"/>
  <c r="F499" i="117"/>
  <c r="F500" i="117"/>
  <c r="F501" i="117"/>
  <c r="F502" i="117"/>
  <c r="F503" i="117"/>
  <c r="F504" i="117"/>
  <c r="F505" i="117"/>
  <c r="F506" i="117"/>
  <c r="F507" i="117"/>
  <c r="F508" i="117"/>
  <c r="F509" i="117"/>
  <c r="F510" i="117"/>
  <c r="F511" i="117"/>
  <c r="F512" i="117"/>
  <c r="F513" i="117"/>
  <c r="F514" i="117"/>
  <c r="F515" i="117"/>
  <c r="F516" i="117"/>
  <c r="F517" i="117"/>
  <c r="F518" i="117"/>
  <c r="F519" i="117"/>
  <c r="F520" i="117"/>
  <c r="F521" i="117"/>
  <c r="F522" i="117"/>
  <c r="F523" i="117"/>
  <c r="F524" i="117"/>
  <c r="F525" i="117"/>
  <c r="F526" i="117"/>
  <c r="F527" i="117"/>
  <c r="F528" i="117"/>
  <c r="F529" i="117"/>
  <c r="F530" i="117"/>
  <c r="F531" i="117"/>
  <c r="F532" i="117"/>
  <c r="F533" i="117"/>
  <c r="F534" i="117"/>
  <c r="F535" i="117"/>
  <c r="F536" i="117"/>
  <c r="F537" i="117"/>
  <c r="F538" i="117"/>
  <c r="F539" i="117"/>
  <c r="F540" i="117"/>
  <c r="F541" i="117"/>
  <c r="F542" i="117"/>
  <c r="F543" i="117"/>
  <c r="F544" i="117"/>
  <c r="F545" i="117"/>
  <c r="F546" i="117"/>
  <c r="F547" i="117"/>
  <c r="F548" i="117"/>
  <c r="F549" i="117"/>
  <c r="F550" i="117"/>
  <c r="F551" i="117"/>
  <c r="F552" i="117"/>
  <c r="F553" i="117"/>
  <c r="F554" i="117"/>
  <c r="F555" i="117"/>
  <c r="F556" i="117"/>
  <c r="F557" i="117"/>
  <c r="F558" i="117"/>
  <c r="F559" i="117"/>
  <c r="F560" i="117"/>
  <c r="F561" i="117"/>
  <c r="F562" i="117"/>
  <c r="F563" i="117"/>
  <c r="F564" i="117"/>
  <c r="F565" i="117"/>
  <c r="F566" i="117"/>
  <c r="F567" i="117"/>
  <c r="F568" i="117"/>
  <c r="F569" i="117"/>
  <c r="F570" i="117"/>
  <c r="F571" i="117"/>
  <c r="F572" i="117"/>
  <c r="F573" i="117"/>
  <c r="F574" i="117"/>
  <c r="F575" i="117"/>
  <c r="F576" i="117"/>
  <c r="F577" i="117"/>
  <c r="F578" i="117"/>
  <c r="F579" i="117"/>
  <c r="F580" i="117"/>
  <c r="F581" i="117"/>
  <c r="F582" i="117"/>
  <c r="F583" i="117"/>
  <c r="F584" i="117"/>
  <c r="F585" i="117"/>
  <c r="F586" i="117"/>
  <c r="F587" i="117"/>
  <c r="F588" i="117"/>
  <c r="F589" i="117"/>
  <c r="F590" i="117"/>
  <c r="F591" i="117"/>
  <c r="F592" i="117"/>
  <c r="F593" i="117"/>
  <c r="F594" i="117"/>
  <c r="F595" i="117"/>
  <c r="F596" i="117"/>
  <c r="F597" i="117"/>
  <c r="F598" i="117"/>
  <c r="F599" i="117"/>
  <c r="F600" i="117"/>
  <c r="F601" i="117"/>
  <c r="F602" i="117"/>
  <c r="F603" i="117"/>
  <c r="F604" i="117"/>
  <c r="F605" i="117"/>
  <c r="F606" i="117"/>
  <c r="F607" i="117"/>
  <c r="F608" i="117"/>
  <c r="F609" i="117"/>
  <c r="F610" i="117"/>
  <c r="F611" i="117"/>
  <c r="F612" i="117"/>
  <c r="F613" i="117"/>
  <c r="F614" i="117"/>
  <c r="F615" i="117"/>
  <c r="F616" i="117"/>
  <c r="F617" i="117"/>
  <c r="F618" i="117"/>
  <c r="F619" i="117"/>
  <c r="F620" i="117"/>
  <c r="F621" i="117"/>
  <c r="F622" i="117"/>
  <c r="F623" i="117"/>
  <c r="F624" i="117"/>
  <c r="F625" i="117"/>
  <c r="F626" i="117"/>
  <c r="F627" i="117"/>
  <c r="F628" i="117"/>
  <c r="F629" i="117"/>
  <c r="F630" i="117"/>
  <c r="F631" i="117"/>
  <c r="F632" i="117"/>
  <c r="F633" i="117"/>
  <c r="F634" i="117"/>
  <c r="F635" i="117"/>
  <c r="F636" i="117"/>
  <c r="F637" i="117"/>
  <c r="F638" i="117"/>
  <c r="F639" i="117"/>
  <c r="F640" i="117"/>
  <c r="F641" i="117"/>
  <c r="F642" i="117"/>
  <c r="F643" i="117"/>
  <c r="F644" i="117"/>
  <c r="F645" i="117"/>
  <c r="F646" i="117"/>
  <c r="F647" i="117"/>
  <c r="F648" i="117"/>
  <c r="F649" i="117"/>
  <c r="F650" i="117"/>
  <c r="F651" i="117"/>
  <c r="F652" i="117"/>
  <c r="F653" i="117"/>
  <c r="F654" i="117"/>
  <c r="F655" i="117"/>
  <c r="F656" i="117"/>
  <c r="F657" i="117"/>
  <c r="F658" i="117"/>
  <c r="F659" i="117"/>
  <c r="F660" i="117"/>
  <c r="F661" i="117"/>
  <c r="F662" i="117"/>
  <c r="F663" i="117"/>
  <c r="F664" i="117"/>
  <c r="F665" i="117"/>
  <c r="F666" i="117"/>
  <c r="F667" i="117"/>
  <c r="F668" i="117"/>
  <c r="F669" i="117"/>
  <c r="F670" i="117"/>
  <c r="F671" i="117"/>
  <c r="F672" i="117"/>
  <c r="F673" i="117"/>
  <c r="F674" i="117"/>
  <c r="F675" i="117"/>
  <c r="F676" i="117"/>
  <c r="F677" i="117"/>
  <c r="F678" i="117"/>
  <c r="F679" i="117"/>
  <c r="F680" i="117"/>
  <c r="F681" i="117"/>
  <c r="F682" i="117"/>
  <c r="F683" i="117"/>
  <c r="F684" i="117"/>
  <c r="F685" i="117"/>
  <c r="F686" i="117"/>
  <c r="F687" i="117"/>
  <c r="F688" i="117"/>
  <c r="F689" i="117"/>
  <c r="F690" i="117"/>
  <c r="F691" i="117"/>
  <c r="F692" i="117"/>
  <c r="F693" i="117"/>
  <c r="F694" i="117"/>
  <c r="F695" i="117"/>
  <c r="F696" i="117"/>
  <c r="F697" i="117"/>
  <c r="F698" i="117"/>
  <c r="F699" i="117"/>
  <c r="F700" i="117"/>
  <c r="F701" i="117"/>
  <c r="F702" i="117"/>
  <c r="F703" i="117"/>
  <c r="F704" i="117"/>
  <c r="F705" i="117"/>
  <c r="F706" i="117"/>
  <c r="F707" i="117"/>
  <c r="F708" i="117"/>
  <c r="F709" i="117"/>
  <c r="F710" i="117"/>
  <c r="F711" i="117"/>
  <c r="F712" i="117"/>
  <c r="F713" i="117"/>
  <c r="F714" i="117"/>
  <c r="F715" i="117"/>
  <c r="F716" i="117"/>
  <c r="F717" i="117"/>
  <c r="F718" i="117"/>
  <c r="F719" i="117"/>
  <c r="F720" i="117"/>
  <c r="F721" i="117"/>
  <c r="F722" i="117"/>
  <c r="F723" i="117"/>
  <c r="F724" i="117"/>
  <c r="F725" i="117"/>
  <c r="F726" i="117"/>
  <c r="F727" i="117"/>
  <c r="F728" i="117"/>
  <c r="F729" i="117"/>
  <c r="F730" i="117"/>
  <c r="F731" i="117"/>
  <c r="F732" i="117"/>
  <c r="F733" i="117"/>
  <c r="F734" i="117"/>
  <c r="F735" i="117"/>
  <c r="F736" i="117"/>
  <c r="F737" i="117"/>
  <c r="F738" i="117"/>
  <c r="F739" i="117"/>
  <c r="F740" i="117"/>
  <c r="F741" i="117"/>
  <c r="F742" i="117"/>
  <c r="F743" i="117"/>
  <c r="F744" i="117"/>
  <c r="F745" i="117"/>
  <c r="F746" i="117"/>
  <c r="F747" i="117"/>
  <c r="F748" i="117"/>
  <c r="F749" i="117"/>
  <c r="F750" i="117"/>
  <c r="F751" i="117"/>
  <c r="F752" i="117"/>
  <c r="F753" i="117"/>
  <c r="F754" i="117"/>
  <c r="F755" i="117"/>
  <c r="F756" i="117"/>
  <c r="F757" i="117"/>
  <c r="F758" i="117"/>
  <c r="F759" i="117"/>
  <c r="F760" i="117"/>
  <c r="F761" i="117"/>
  <c r="F762" i="117"/>
  <c r="F763" i="117"/>
  <c r="F764" i="117"/>
  <c r="F765" i="117"/>
  <c r="F766" i="117"/>
  <c r="F767" i="117"/>
  <c r="F768" i="117"/>
  <c r="F769" i="117"/>
  <c r="F770" i="117"/>
  <c r="F771" i="117"/>
  <c r="F772" i="117"/>
  <c r="F773" i="117"/>
  <c r="F774" i="117"/>
  <c r="F775" i="117"/>
  <c r="F776" i="117"/>
  <c r="F777" i="117"/>
  <c r="F778" i="117"/>
  <c r="F779" i="117"/>
  <c r="F780" i="117"/>
  <c r="F781" i="117"/>
  <c r="F782" i="117"/>
  <c r="F783" i="117"/>
  <c r="F784" i="117"/>
  <c r="F785" i="117"/>
  <c r="F786" i="117"/>
  <c r="F787" i="117"/>
  <c r="F788" i="117"/>
  <c r="F789" i="117"/>
  <c r="F790" i="117"/>
  <c r="F791" i="117"/>
  <c r="F792" i="117"/>
  <c r="F793" i="117"/>
  <c r="F794" i="117"/>
  <c r="F795" i="117"/>
  <c r="F796" i="117"/>
  <c r="F797" i="117"/>
  <c r="F798" i="117"/>
  <c r="F799" i="117"/>
  <c r="F800" i="117"/>
  <c r="F801" i="117"/>
  <c r="F802" i="117"/>
  <c r="F803" i="117"/>
  <c r="F804" i="117"/>
  <c r="F5" i="117"/>
  <c r="Z8" i="134" l="1"/>
  <c r="Z8" i="136"/>
  <c r="AA25" i="142"/>
  <c r="Y9" i="109"/>
  <c r="Z27" i="142"/>
  <c r="Y10" i="134"/>
  <c r="Y10" i="136"/>
  <c r="K11" i="121"/>
  <c r="X36" i="135"/>
  <c r="V14" i="109" s="1"/>
  <c r="R23" i="121" s="1"/>
  <c r="X34" i="135"/>
  <c r="R20" i="139" s="1"/>
  <c r="Y14" i="135"/>
  <c r="Y19" i="135" s="1"/>
  <c r="Z11" i="135"/>
  <c r="Z12" i="135"/>
  <c r="Z13" i="135"/>
  <c r="Z25" i="135"/>
  <c r="Z24" i="135"/>
  <c r="Z26" i="135"/>
  <c r="Y27" i="135"/>
  <c r="U14" i="109"/>
  <c r="R22" i="121" s="1"/>
  <c r="Q22" i="139"/>
  <c r="X8" i="109"/>
  <c r="Y24" i="142"/>
  <c r="Z10" i="142"/>
  <c r="AA10" i="135"/>
  <c r="AA8" i="135"/>
  <c r="Z8" i="142"/>
  <c r="Y17" i="142"/>
  <c r="Z23" i="135"/>
  <c r="Z15" i="142"/>
  <c r="AA21" i="135"/>
  <c r="K12" i="109"/>
  <c r="J12" i="121" s="1"/>
  <c r="G14" i="139"/>
  <c r="M16" i="134"/>
  <c r="M20" i="134"/>
  <c r="H16" i="139"/>
  <c r="L22" i="134"/>
  <c r="N17" i="134"/>
  <c r="J13" i="139" s="1"/>
  <c r="N21" i="134"/>
  <c r="J17" i="139" s="1"/>
  <c r="G18" i="139"/>
  <c r="K13" i="109"/>
  <c r="K12" i="121" s="1"/>
  <c r="H12" i="139"/>
  <c r="L18" i="134"/>
  <c r="N34" i="117"/>
  <c r="D17" i="111"/>
  <c r="C32" i="111"/>
  <c r="C33" i="111" s="1"/>
  <c r="C16" i="111"/>
  <c r="P40" i="117"/>
  <c r="V23" i="117" s="1"/>
  <c r="N40" i="117"/>
  <c r="F32" i="111"/>
  <c r="F16" i="111"/>
  <c r="C9" i="111"/>
  <c r="C14" i="111" s="1"/>
  <c r="N14" i="117"/>
  <c r="P14" i="117"/>
  <c r="V14" i="117" s="1"/>
  <c r="E32" i="111"/>
  <c r="E16" i="111"/>
  <c r="P15" i="117"/>
  <c r="V15" i="117" s="1"/>
  <c r="N15" i="117"/>
  <c r="P16" i="117"/>
  <c r="V16" i="117" s="1"/>
  <c r="N16" i="117"/>
  <c r="N43" i="117"/>
  <c r="P43" i="117"/>
  <c r="V26" i="117" s="1"/>
  <c r="N13" i="117"/>
  <c r="P13" i="117"/>
  <c r="V13" i="117" s="1"/>
  <c r="N17" i="117"/>
  <c r="P17" i="117"/>
  <c r="V17" i="117" s="1"/>
  <c r="P5" i="117"/>
  <c r="N5" i="117"/>
  <c r="P48" i="117"/>
  <c r="V31" i="117" s="1"/>
  <c r="N48" i="117"/>
  <c r="D15" i="111"/>
  <c r="P41" i="117"/>
  <c r="V24" i="117" s="1"/>
  <c r="N41" i="117"/>
  <c r="N45" i="117"/>
  <c r="P45" i="117"/>
  <c r="V28" i="117" s="1"/>
  <c r="P49" i="117"/>
  <c r="V32" i="117" s="1"/>
  <c r="N49" i="117"/>
  <c r="N53" i="117"/>
  <c r="P53" i="117"/>
  <c r="V36" i="117" s="1"/>
  <c r="E17" i="111"/>
  <c r="P46" i="117"/>
  <c r="V29" i="117" s="1"/>
  <c r="N46" i="117"/>
  <c r="P50" i="117"/>
  <c r="V33" i="117" s="1"/>
  <c r="N50" i="117"/>
  <c r="N54" i="117"/>
  <c r="P54" i="117"/>
  <c r="V37" i="117" s="1"/>
  <c r="N8" i="117"/>
  <c r="P8" i="117"/>
  <c r="E4" i="111"/>
  <c r="N22" i="117"/>
  <c r="P22" i="117"/>
  <c r="P23" i="117"/>
  <c r="N23" i="117"/>
  <c r="P10" i="117"/>
  <c r="V10" i="117" s="1"/>
  <c r="N10" i="117"/>
  <c r="P39" i="117"/>
  <c r="V22" i="117" s="1"/>
  <c r="N39" i="117"/>
  <c r="P24" i="117"/>
  <c r="N24" i="117"/>
  <c r="P7" i="117"/>
  <c r="N7" i="117"/>
  <c r="N11" i="117"/>
  <c r="P11" i="117"/>
  <c r="V11" i="117" s="1"/>
  <c r="N19" i="117"/>
  <c r="P19" i="117"/>
  <c r="V19" i="117" s="1"/>
  <c r="P9" i="117"/>
  <c r="V9" i="117" s="1"/>
  <c r="N9" i="117"/>
  <c r="P44" i="117"/>
  <c r="V27" i="117" s="1"/>
  <c r="N44" i="117"/>
  <c r="P6" i="117"/>
  <c r="N6" i="117"/>
  <c r="C17" i="111"/>
  <c r="N12" i="117"/>
  <c r="P12" i="117"/>
  <c r="V12" i="117" s="1"/>
  <c r="N20" i="117"/>
  <c r="P20" i="117"/>
  <c r="V20" i="117" s="1"/>
  <c r="P47" i="117"/>
  <c r="V30" i="117" s="1"/>
  <c r="N47" i="117"/>
  <c r="N51" i="117"/>
  <c r="P51" i="117"/>
  <c r="V34" i="117" s="1"/>
  <c r="D9" i="111"/>
  <c r="D13" i="111" s="1"/>
  <c r="E20" i="111"/>
  <c r="D16" i="111"/>
  <c r="E15" i="111"/>
  <c r="P52" i="117"/>
  <c r="V35" i="117" s="1"/>
  <c r="N52" i="117"/>
  <c r="C20" i="111"/>
  <c r="N18" i="117"/>
  <c r="P18" i="117"/>
  <c r="V18" i="117" s="1"/>
  <c r="P42" i="117"/>
  <c r="V25" i="117" s="1"/>
  <c r="N42" i="117"/>
  <c r="N25" i="117"/>
  <c r="P25" i="117"/>
  <c r="E9" i="111"/>
  <c r="D19" i="111"/>
  <c r="D23" i="111" s="1"/>
  <c r="C5" i="111"/>
  <c r="C15" i="111" s="1"/>
  <c r="D31" i="111"/>
  <c r="D34" i="111" s="1"/>
  <c r="D33" i="111"/>
  <c r="D8" i="111"/>
  <c r="O9" i="120"/>
  <c r="O10" i="120"/>
  <c r="O11" i="120"/>
  <c r="AA8" i="136" l="1"/>
  <c r="AA8" i="134"/>
  <c r="Z9" i="109"/>
  <c r="Z10" i="134"/>
  <c r="Z10" i="136"/>
  <c r="AA27" i="142"/>
  <c r="R22" i="139"/>
  <c r="Z17" i="142"/>
  <c r="AA23" i="135"/>
  <c r="AB10" i="135"/>
  <c r="AA10" i="142"/>
  <c r="AC10" i="135" s="1"/>
  <c r="S22" i="121"/>
  <c r="T22" i="121"/>
  <c r="AA26" i="135"/>
  <c r="AA25" i="135"/>
  <c r="AA24" i="135"/>
  <c r="AA8" i="142"/>
  <c r="AC8" i="135" s="1"/>
  <c r="AB8" i="135"/>
  <c r="Z24" i="142"/>
  <c r="Y8" i="109"/>
  <c r="Z27" i="135"/>
  <c r="Z14" i="135"/>
  <c r="Z19" i="135" s="1"/>
  <c r="AA15" i="142"/>
  <c r="AC21" i="135" s="1"/>
  <c r="AB21" i="135"/>
  <c r="AA13" i="135"/>
  <c r="AA11" i="135"/>
  <c r="AA12" i="135"/>
  <c r="Y34" i="135"/>
  <c r="S20" i="139" s="1"/>
  <c r="Y32" i="135"/>
  <c r="Y36" i="135" s="1"/>
  <c r="S23" i="121"/>
  <c r="T23" i="121"/>
  <c r="I16" i="139"/>
  <c r="M22" i="134"/>
  <c r="H14" i="139"/>
  <c r="L12" i="109"/>
  <c r="J13" i="121" s="1"/>
  <c r="N20" i="134"/>
  <c r="N16" i="134"/>
  <c r="I12" i="139"/>
  <c r="M18" i="134"/>
  <c r="L13" i="109"/>
  <c r="K13" i="121" s="1"/>
  <c r="H18" i="139"/>
  <c r="O21" i="134"/>
  <c r="K17" i="139" s="1"/>
  <c r="O17" i="134"/>
  <c r="K13" i="139" s="1"/>
  <c r="H9" i="114"/>
  <c r="G9" i="114"/>
  <c r="I19" i="109" s="1"/>
  <c r="AE10" i="121" s="1"/>
  <c r="AF10" i="121" s="1"/>
  <c r="E14" i="111"/>
  <c r="V5" i="117"/>
  <c r="V7" i="117"/>
  <c r="V8" i="117"/>
  <c r="D14" i="111"/>
  <c r="V6" i="117"/>
  <c r="Q10" i="120"/>
  <c r="Q11" i="120"/>
  <c r="Q9" i="120"/>
  <c r="AF8" i="121"/>
  <c r="Q12" i="120"/>
  <c r="D25" i="111"/>
  <c r="D18" i="111"/>
  <c r="E30" i="120"/>
  <c r="D30" i="120"/>
  <c r="F30" i="120"/>
  <c r="D13" i="116"/>
  <c r="D12" i="116"/>
  <c r="C14" i="116"/>
  <c r="D14" i="116" s="1"/>
  <c r="C16" i="116" s="1"/>
  <c r="F5" i="116"/>
  <c r="D5" i="116"/>
  <c r="F6" i="116"/>
  <c r="C6" i="116"/>
  <c r="C7" i="116" s="1"/>
  <c r="E6" i="116"/>
  <c r="E7" i="116" s="1"/>
  <c r="AA9" i="109" l="1"/>
  <c r="C9" i="109" s="1"/>
  <c r="AA10" i="134"/>
  <c r="AA10" i="136"/>
  <c r="AC24" i="135"/>
  <c r="AC26" i="135"/>
  <c r="AC25" i="135"/>
  <c r="AA24" i="142"/>
  <c r="AA8" i="109" s="1"/>
  <c r="Z8" i="109"/>
  <c r="AA14" i="135"/>
  <c r="AA19" i="135" s="1"/>
  <c r="AB12" i="135"/>
  <c r="AB11" i="135"/>
  <c r="AB13" i="135"/>
  <c r="S22" i="139"/>
  <c r="W14" i="109"/>
  <c r="R24" i="121" s="1"/>
  <c r="Z34" i="135"/>
  <c r="T20" i="139" s="1"/>
  <c r="Z32" i="135"/>
  <c r="Z36" i="135" s="1"/>
  <c r="AC12" i="135"/>
  <c r="AC11" i="135"/>
  <c r="AC13" i="135"/>
  <c r="AB24" i="135"/>
  <c r="AB26" i="135"/>
  <c r="AB25" i="135"/>
  <c r="AA27" i="135"/>
  <c r="AA17" i="142"/>
  <c r="AC23" i="135" s="1"/>
  <c r="AB23" i="135"/>
  <c r="J16" i="139"/>
  <c r="N22" i="134"/>
  <c r="I14" i="139"/>
  <c r="M12" i="109"/>
  <c r="J14" i="121" s="1"/>
  <c r="O16" i="134"/>
  <c r="O20" i="134"/>
  <c r="P17" i="134"/>
  <c r="L13" i="139" s="1"/>
  <c r="P21" i="134"/>
  <c r="L17" i="139" s="1"/>
  <c r="J12" i="139"/>
  <c r="N18" i="134"/>
  <c r="I18" i="139"/>
  <c r="M13" i="109"/>
  <c r="H19" i="109"/>
  <c r="P12" i="120"/>
  <c r="J19" i="109"/>
  <c r="AE11" i="121" s="1"/>
  <c r="AF11" i="121" s="1"/>
  <c r="D12" i="134"/>
  <c r="D13" i="134"/>
  <c r="D10" i="120"/>
  <c r="F10" i="120"/>
  <c r="AH10" i="121"/>
  <c r="AG10" i="121"/>
  <c r="AG8" i="121"/>
  <c r="AH8" i="121"/>
  <c r="R9" i="120"/>
  <c r="E10" i="120"/>
  <c r="D26" i="111"/>
  <c r="D28" i="111" s="1"/>
  <c r="D36" i="111" s="1"/>
  <c r="D27" i="111"/>
  <c r="E11" i="120"/>
  <c r="F11" i="120"/>
  <c r="D11" i="120"/>
  <c r="F7" i="116"/>
  <c r="D6" i="116"/>
  <c r="D7" i="116" s="1"/>
  <c r="C14" i="112"/>
  <c r="AE9" i="121" l="1"/>
  <c r="AF9" i="121" s="1"/>
  <c r="C19" i="109"/>
  <c r="K14" i="121"/>
  <c r="AB14" i="135"/>
  <c r="AB19" i="135" s="1"/>
  <c r="AA32" i="135"/>
  <c r="AA36" i="135" s="1"/>
  <c r="AA34" i="135"/>
  <c r="U20" i="139" s="1"/>
  <c r="AC14" i="135"/>
  <c r="AC19" i="135" s="1"/>
  <c r="S24" i="121"/>
  <c r="T24" i="121"/>
  <c r="AB27" i="135"/>
  <c r="T22" i="139"/>
  <c r="X14" i="109"/>
  <c r="R25" i="121" s="1"/>
  <c r="AC27" i="135"/>
  <c r="N13" i="109"/>
  <c r="K15" i="121" s="1"/>
  <c r="J18" i="139"/>
  <c r="R13" i="134"/>
  <c r="N9" i="139" s="1"/>
  <c r="K16" i="139"/>
  <c r="O22" i="134"/>
  <c r="P16" i="134"/>
  <c r="P20" i="134"/>
  <c r="J14" i="139"/>
  <c r="N12" i="109"/>
  <c r="J15" i="121" s="1"/>
  <c r="Q21" i="134"/>
  <c r="M17" i="139" s="1"/>
  <c r="Q17" i="134"/>
  <c r="M13" i="139" s="1"/>
  <c r="K12" i="139"/>
  <c r="O18" i="134"/>
  <c r="C8" i="116"/>
  <c r="AH9" i="121"/>
  <c r="AG9" i="121"/>
  <c r="AB13" i="134"/>
  <c r="X9" i="139" s="1"/>
  <c r="H13" i="134"/>
  <c r="D9" i="139" s="1"/>
  <c r="J13" i="134"/>
  <c r="F9" i="139" s="1"/>
  <c r="I13" i="134"/>
  <c r="E9" i="139" s="1"/>
  <c r="K13" i="134"/>
  <c r="G9" i="139" s="1"/>
  <c r="L13" i="134"/>
  <c r="H9" i="139" s="1"/>
  <c r="N13" i="134"/>
  <c r="J9" i="139" s="1"/>
  <c r="M13" i="134"/>
  <c r="I9" i="139" s="1"/>
  <c r="P13" i="134"/>
  <c r="L9" i="139" s="1"/>
  <c r="O13" i="134"/>
  <c r="K9" i="139" s="1"/>
  <c r="Q13" i="134"/>
  <c r="M9" i="139" s="1"/>
  <c r="AB12" i="134"/>
  <c r="X8" i="139" s="1"/>
  <c r="H12" i="134"/>
  <c r="D8" i="139" s="1"/>
  <c r="I12" i="134"/>
  <c r="E8" i="139" s="1"/>
  <c r="J12" i="134"/>
  <c r="F8" i="139" s="1"/>
  <c r="K12" i="134"/>
  <c r="G8" i="139" s="1"/>
  <c r="L12" i="134"/>
  <c r="H8" i="139" s="1"/>
  <c r="M12" i="134"/>
  <c r="I8" i="139" s="1"/>
  <c r="N12" i="134"/>
  <c r="J8" i="139" s="1"/>
  <c r="O12" i="134"/>
  <c r="K8" i="139" s="1"/>
  <c r="P12" i="134"/>
  <c r="Q12" i="134"/>
  <c r="M8" i="139" s="1"/>
  <c r="AH11" i="121"/>
  <c r="AG11" i="121"/>
  <c r="E12" i="120"/>
  <c r="F12" i="120"/>
  <c r="D12" i="120"/>
  <c r="E33" i="111"/>
  <c r="F33" i="111"/>
  <c r="T25" i="121" l="1"/>
  <c r="S25" i="121"/>
  <c r="AB32" i="135"/>
  <c r="AB36" i="135" s="1"/>
  <c r="AB34" i="135"/>
  <c r="V20" i="139" s="1"/>
  <c r="AC32" i="135"/>
  <c r="AC36" i="135" s="1"/>
  <c r="AC34" i="135"/>
  <c r="W20" i="139" s="1"/>
  <c r="U22" i="139"/>
  <c r="Y14" i="109"/>
  <c r="R26" i="121" s="1"/>
  <c r="O12" i="109"/>
  <c r="J16" i="121" s="1"/>
  <c r="K14" i="139"/>
  <c r="Q16" i="134"/>
  <c r="Q20" i="134"/>
  <c r="L16" i="139"/>
  <c r="P22" i="134"/>
  <c r="L12" i="139"/>
  <c r="P18" i="134"/>
  <c r="O13" i="109"/>
  <c r="K18" i="139"/>
  <c r="R17" i="134"/>
  <c r="N13" i="139" s="1"/>
  <c r="R21" i="134"/>
  <c r="N17" i="139" s="1"/>
  <c r="P14" i="134"/>
  <c r="L8" i="139"/>
  <c r="H32" i="139"/>
  <c r="I33" i="139"/>
  <c r="E33" i="139"/>
  <c r="K32" i="139"/>
  <c r="G32" i="139"/>
  <c r="X32" i="139"/>
  <c r="M33" i="139"/>
  <c r="J33" i="139"/>
  <c r="F33" i="139"/>
  <c r="J32" i="139"/>
  <c r="F32" i="139"/>
  <c r="K33" i="139"/>
  <c r="H33" i="139"/>
  <c r="D33" i="139"/>
  <c r="I32" i="139"/>
  <c r="E32" i="139"/>
  <c r="L33" i="139"/>
  <c r="G33" i="139"/>
  <c r="X33" i="139"/>
  <c r="L14" i="134"/>
  <c r="H14" i="134"/>
  <c r="D10" i="139" s="1"/>
  <c r="K14" i="134"/>
  <c r="AB14" i="134"/>
  <c r="N14" i="134"/>
  <c r="J14" i="134"/>
  <c r="O14" i="134"/>
  <c r="Q14" i="134"/>
  <c r="M14" i="134"/>
  <c r="I14" i="134"/>
  <c r="E13" i="120"/>
  <c r="F13" i="120"/>
  <c r="D13" i="120"/>
  <c r="D19" i="112"/>
  <c r="D5" i="112"/>
  <c r="D6" i="112"/>
  <c r="D7" i="112"/>
  <c r="D8" i="112"/>
  <c r="D9" i="112"/>
  <c r="D10" i="112"/>
  <c r="D11" i="112"/>
  <c r="D12" i="112"/>
  <c r="D13" i="112"/>
  <c r="D4" i="112"/>
  <c r="K16" i="121" l="1"/>
  <c r="V22" i="139"/>
  <c r="Z14" i="109"/>
  <c r="R27" i="121" s="1"/>
  <c r="S26" i="121"/>
  <c r="T26" i="121"/>
  <c r="AA14" i="109"/>
  <c r="W22" i="139"/>
  <c r="N33" i="139"/>
  <c r="R20" i="134"/>
  <c r="R16" i="134"/>
  <c r="R12" i="134"/>
  <c r="P12" i="109"/>
  <c r="J17" i="121" s="1"/>
  <c r="L14" i="139"/>
  <c r="M16" i="139"/>
  <c r="Q22" i="134"/>
  <c r="S17" i="134"/>
  <c r="O13" i="139" s="1"/>
  <c r="S21" i="134"/>
  <c r="O17" i="139" s="1"/>
  <c r="S13" i="134"/>
  <c r="O9" i="139" s="1"/>
  <c r="M12" i="139"/>
  <c r="Q18" i="134"/>
  <c r="L18" i="139"/>
  <c r="P13" i="109"/>
  <c r="K17" i="121" s="1"/>
  <c r="E34" i="139"/>
  <c r="J34" i="139"/>
  <c r="F34" i="139"/>
  <c r="D14" i="112"/>
  <c r="I34" i="139"/>
  <c r="H34" i="139"/>
  <c r="Q11" i="109"/>
  <c r="D18" i="121" s="1"/>
  <c r="M10" i="139"/>
  <c r="AB11" i="109"/>
  <c r="D29" i="121" s="1"/>
  <c r="X10" i="139"/>
  <c r="G34" i="139"/>
  <c r="O11" i="109"/>
  <c r="D16" i="121" s="1"/>
  <c r="K10" i="139"/>
  <c r="N11" i="109"/>
  <c r="D15" i="121" s="1"/>
  <c r="J10" i="139"/>
  <c r="K11" i="109"/>
  <c r="D12" i="121" s="1"/>
  <c r="G10" i="139"/>
  <c r="X34" i="139"/>
  <c r="I11" i="109"/>
  <c r="D10" i="121" s="1"/>
  <c r="E10" i="139"/>
  <c r="K34" i="139"/>
  <c r="L32" i="139"/>
  <c r="M11" i="109"/>
  <c r="D14" i="121" s="1"/>
  <c r="I10" i="139"/>
  <c r="J11" i="109"/>
  <c r="D11" i="121" s="1"/>
  <c r="F10" i="139"/>
  <c r="H11" i="109"/>
  <c r="L11" i="109"/>
  <c r="D13" i="121" s="1"/>
  <c r="H10" i="139"/>
  <c r="D34" i="139"/>
  <c r="P11" i="109"/>
  <c r="D17" i="121" s="1"/>
  <c r="L10" i="139"/>
  <c r="D14" i="120"/>
  <c r="E14" i="120"/>
  <c r="F14" i="120"/>
  <c r="I9" i="114"/>
  <c r="M9" i="114"/>
  <c r="Q9" i="114"/>
  <c r="U9" i="114"/>
  <c r="Y9" i="114"/>
  <c r="J9" i="114"/>
  <c r="N9" i="114"/>
  <c r="R9" i="114"/>
  <c r="V9" i="114"/>
  <c r="Z9" i="114"/>
  <c r="K9" i="114"/>
  <c r="O9" i="114"/>
  <c r="S9" i="114"/>
  <c r="W9" i="114"/>
  <c r="L9" i="114"/>
  <c r="P9" i="114"/>
  <c r="T9" i="114"/>
  <c r="X9" i="114"/>
  <c r="F16" i="109"/>
  <c r="AL7" i="121" s="1"/>
  <c r="G16" i="109"/>
  <c r="AL8" i="121" s="1"/>
  <c r="E16" i="109"/>
  <c r="AL6" i="121" s="1"/>
  <c r="D9" i="121" l="1"/>
  <c r="R28" i="121"/>
  <c r="T28" i="121" s="1"/>
  <c r="C14" i="109"/>
  <c r="S27" i="121"/>
  <c r="T27" i="121"/>
  <c r="S28" i="121"/>
  <c r="M32" i="139"/>
  <c r="M34" i="139" s="1"/>
  <c r="N12" i="139"/>
  <c r="R18" i="134"/>
  <c r="S20" i="134"/>
  <c r="S16" i="134"/>
  <c r="S12" i="134"/>
  <c r="T17" i="134"/>
  <c r="P13" i="139" s="1"/>
  <c r="T21" i="134"/>
  <c r="P17" i="139" s="1"/>
  <c r="T13" i="134"/>
  <c r="P9" i="139" s="1"/>
  <c r="Q12" i="109"/>
  <c r="J18" i="121" s="1"/>
  <c r="M14" i="139"/>
  <c r="N8" i="139"/>
  <c r="R14" i="134"/>
  <c r="Q13" i="109"/>
  <c r="K18" i="121" s="1"/>
  <c r="M18" i="139"/>
  <c r="O33" i="139"/>
  <c r="N16" i="139"/>
  <c r="R22" i="134"/>
  <c r="L34" i="139"/>
  <c r="P28" i="120"/>
  <c r="Z19" i="109"/>
  <c r="AE27" i="121" s="1"/>
  <c r="AF27" i="121" s="1"/>
  <c r="P30" i="120"/>
  <c r="AB19" i="109"/>
  <c r="AE29" i="121" s="1"/>
  <c r="AF29" i="121" s="1"/>
  <c r="P14" i="120"/>
  <c r="L19" i="109"/>
  <c r="AE13" i="121" s="1"/>
  <c r="AF13" i="121" s="1"/>
  <c r="P17" i="120"/>
  <c r="O19" i="109"/>
  <c r="AE16" i="121" s="1"/>
  <c r="AF16" i="121" s="1"/>
  <c r="P24" i="120"/>
  <c r="V19" i="109"/>
  <c r="AE23" i="121" s="1"/>
  <c r="AF23" i="121" s="1"/>
  <c r="P23" i="120"/>
  <c r="U19" i="109"/>
  <c r="AE22" i="121" s="1"/>
  <c r="AF22" i="121" s="1"/>
  <c r="P26" i="120"/>
  <c r="X19" i="109"/>
  <c r="AE25" i="121" s="1"/>
  <c r="AF25" i="121" s="1"/>
  <c r="P29" i="120"/>
  <c r="AA19" i="109"/>
  <c r="AE28" i="121" s="1"/>
  <c r="AF28" i="121" s="1"/>
  <c r="P13" i="120"/>
  <c r="K19" i="109"/>
  <c r="AE12" i="121" s="1"/>
  <c r="P27" i="120"/>
  <c r="Y19" i="109"/>
  <c r="AE26" i="121" s="1"/>
  <c r="AF26" i="121" s="1"/>
  <c r="P20" i="120"/>
  <c r="R19" i="109"/>
  <c r="AE19" i="121" s="1"/>
  <c r="AF19" i="121" s="1"/>
  <c r="P19" i="120"/>
  <c r="Q19" i="109"/>
  <c r="AE18" i="121" s="1"/>
  <c r="AF18" i="121" s="1"/>
  <c r="P22" i="120"/>
  <c r="T19" i="109"/>
  <c r="AE21" i="121" s="1"/>
  <c r="AF21" i="121" s="1"/>
  <c r="P25" i="120"/>
  <c r="W19" i="109"/>
  <c r="AE24" i="121" s="1"/>
  <c r="AF24" i="121" s="1"/>
  <c r="P16" i="120"/>
  <c r="N19" i="109"/>
  <c r="AE15" i="121" s="1"/>
  <c r="AF15" i="121" s="1"/>
  <c r="P15" i="120"/>
  <c r="M19" i="109"/>
  <c r="AE14" i="121" s="1"/>
  <c r="AF14" i="121" s="1"/>
  <c r="P18" i="120"/>
  <c r="P19" i="109"/>
  <c r="AE17" i="121" s="1"/>
  <c r="AF17" i="121" s="1"/>
  <c r="P21" i="120"/>
  <c r="S19" i="109"/>
  <c r="AE20" i="121" s="1"/>
  <c r="AF20" i="121" s="1"/>
  <c r="Q15" i="120"/>
  <c r="Q21" i="120"/>
  <c r="Q27" i="120"/>
  <c r="Q14" i="120"/>
  <c r="Q24" i="120"/>
  <c r="Q26" i="120"/>
  <c r="Q29" i="120"/>
  <c r="Q13" i="120"/>
  <c r="P31" i="120"/>
  <c r="Q16" i="120"/>
  <c r="Q18" i="120"/>
  <c r="Q28" i="120"/>
  <c r="Q30" i="120"/>
  <c r="Q17" i="120"/>
  <c r="Q23" i="120"/>
  <c r="Q20" i="120"/>
  <c r="Q19" i="120"/>
  <c r="Q22" i="120"/>
  <c r="Q25" i="120"/>
  <c r="D15" i="120"/>
  <c r="F15" i="120"/>
  <c r="E15" i="120"/>
  <c r="E31" i="111"/>
  <c r="E34" i="111" s="1"/>
  <c r="F31" i="111"/>
  <c r="F34" i="111" s="1"/>
  <c r="C34" i="111"/>
  <c r="F23" i="111"/>
  <c r="E23" i="111"/>
  <c r="C23" i="111"/>
  <c r="F13" i="111"/>
  <c r="E13" i="111"/>
  <c r="C13" i="111"/>
  <c r="E8" i="111"/>
  <c r="F8" i="111"/>
  <c r="C8" i="111"/>
  <c r="P33" i="139" l="1"/>
  <c r="N32" i="139"/>
  <c r="N34" i="139" s="1"/>
  <c r="O16" i="139"/>
  <c r="S22" i="134"/>
  <c r="R12" i="109"/>
  <c r="J19" i="121" s="1"/>
  <c r="N14" i="139"/>
  <c r="O8" i="139"/>
  <c r="S14" i="134"/>
  <c r="R13" i="109"/>
  <c r="K19" i="121" s="1"/>
  <c r="N18" i="139"/>
  <c r="T20" i="134"/>
  <c r="T16" i="134"/>
  <c r="T12" i="134"/>
  <c r="R11" i="109"/>
  <c r="N10" i="139"/>
  <c r="O12" i="139"/>
  <c r="S18" i="134"/>
  <c r="U17" i="134"/>
  <c r="Q13" i="139" s="1"/>
  <c r="U21" i="134"/>
  <c r="Q17" i="139" s="1"/>
  <c r="U13" i="134"/>
  <c r="Q9" i="139" s="1"/>
  <c r="Y38" i="109"/>
  <c r="C25" i="111"/>
  <c r="C26" i="111" s="1"/>
  <c r="C28" i="111" s="1"/>
  <c r="C36" i="111" s="1"/>
  <c r="AG18" i="121"/>
  <c r="AH18" i="121"/>
  <c r="AG29" i="121"/>
  <c r="AH29" i="121"/>
  <c r="AG25" i="121"/>
  <c r="AH25" i="121"/>
  <c r="AH20" i="121"/>
  <c r="AG20" i="121"/>
  <c r="AG21" i="121"/>
  <c r="AH21" i="121"/>
  <c r="AH19" i="121"/>
  <c r="AG19" i="121"/>
  <c r="AG16" i="121"/>
  <c r="AH16" i="121"/>
  <c r="AG27" i="121"/>
  <c r="AH27" i="121"/>
  <c r="AH15" i="121"/>
  <c r="AG15" i="121"/>
  <c r="AH24" i="121"/>
  <c r="AG24" i="121"/>
  <c r="AG22" i="121"/>
  <c r="AH22" i="121"/>
  <c r="AG17" i="121"/>
  <c r="AH17" i="121"/>
  <c r="AF12" i="121"/>
  <c r="AE30" i="121"/>
  <c r="AG13" i="121"/>
  <c r="AH13" i="121"/>
  <c r="AG28" i="121"/>
  <c r="AH28" i="121"/>
  <c r="AH23" i="121"/>
  <c r="AG23" i="121"/>
  <c r="AH26" i="121"/>
  <c r="AG26" i="121"/>
  <c r="AG14" i="121"/>
  <c r="AH14" i="121"/>
  <c r="M10" i="120"/>
  <c r="E16" i="120"/>
  <c r="D16" i="120"/>
  <c r="F16" i="120"/>
  <c r="C18" i="111"/>
  <c r="F25" i="111"/>
  <c r="F26" i="111" s="1"/>
  <c r="F28" i="111" s="1"/>
  <c r="F36" i="111" s="1"/>
  <c r="F18" i="111"/>
  <c r="E25" i="111"/>
  <c r="E26" i="111" s="1"/>
  <c r="E28" i="111" s="1"/>
  <c r="E36" i="111" s="1"/>
  <c r="E18" i="111"/>
  <c r="M12" i="120"/>
  <c r="D19" i="121" l="1"/>
  <c r="Q33" i="139"/>
  <c r="P12" i="139"/>
  <c r="T18" i="134"/>
  <c r="V17" i="134"/>
  <c r="R13" i="139" s="1"/>
  <c r="V21" i="134"/>
  <c r="R17" i="139" s="1"/>
  <c r="V13" i="134"/>
  <c r="R9" i="139" s="1"/>
  <c r="U16" i="134"/>
  <c r="U20" i="134"/>
  <c r="U12" i="134"/>
  <c r="S12" i="109"/>
  <c r="J20" i="121" s="1"/>
  <c r="O14" i="139"/>
  <c r="P8" i="139"/>
  <c r="T14" i="134"/>
  <c r="O18" i="139"/>
  <c r="S13" i="109"/>
  <c r="K20" i="121" s="1"/>
  <c r="S11" i="109"/>
  <c r="D20" i="121" s="1"/>
  <c r="O10" i="139"/>
  <c r="P16" i="139"/>
  <c r="T22" i="134"/>
  <c r="O32" i="139"/>
  <c r="O34" i="139" s="1"/>
  <c r="M11" i="120"/>
  <c r="E27" i="111"/>
  <c r="AH12" i="121"/>
  <c r="AG12" i="121"/>
  <c r="F17" i="120"/>
  <c r="E17" i="120"/>
  <c r="D17" i="120"/>
  <c r="F27" i="111"/>
  <c r="C27" i="111"/>
  <c r="Q8" i="139" l="1"/>
  <c r="U14" i="134"/>
  <c r="Q16" i="139"/>
  <c r="U22" i="134"/>
  <c r="V20" i="134"/>
  <c r="V16" i="134"/>
  <c r="V12" i="134"/>
  <c r="Q12" i="139"/>
  <c r="U18" i="134"/>
  <c r="T12" i="109"/>
  <c r="J21" i="121" s="1"/>
  <c r="P14" i="139"/>
  <c r="T13" i="109"/>
  <c r="K21" i="121" s="1"/>
  <c r="P18" i="139"/>
  <c r="P10" i="139"/>
  <c r="T11" i="109"/>
  <c r="D21" i="121" s="1"/>
  <c r="P32" i="139"/>
  <c r="P34" i="139" s="1"/>
  <c r="W17" i="134"/>
  <c r="S13" i="139" s="1"/>
  <c r="W13" i="134"/>
  <c r="S9" i="139" s="1"/>
  <c r="W21" i="134"/>
  <c r="S17" i="139" s="1"/>
  <c r="R33" i="139"/>
  <c r="F18" i="120"/>
  <c r="E18" i="120"/>
  <c r="D18" i="120"/>
  <c r="AB57" i="109"/>
  <c r="AA57" i="109"/>
  <c r="Z57" i="109"/>
  <c r="Y57" i="109"/>
  <c r="X57" i="109"/>
  <c r="W57" i="109"/>
  <c r="V57" i="109"/>
  <c r="U57" i="109"/>
  <c r="T57" i="109"/>
  <c r="S57" i="109"/>
  <c r="R57" i="109"/>
  <c r="Q57" i="109"/>
  <c r="P57" i="109"/>
  <c r="O57" i="109"/>
  <c r="N57" i="109"/>
  <c r="M57" i="109"/>
  <c r="L57" i="109"/>
  <c r="K57" i="109"/>
  <c r="J57" i="109"/>
  <c r="I57" i="109"/>
  <c r="H57" i="109"/>
  <c r="C57" i="109" s="1"/>
  <c r="G57" i="109"/>
  <c r="F57" i="109"/>
  <c r="E57" i="109"/>
  <c r="AB56" i="109"/>
  <c r="AA56" i="109"/>
  <c r="Z56" i="109"/>
  <c r="Y56" i="109"/>
  <c r="X56" i="109"/>
  <c r="W56" i="109"/>
  <c r="V56" i="109"/>
  <c r="U56" i="109"/>
  <c r="T56" i="109"/>
  <c r="S56" i="109"/>
  <c r="R56" i="109"/>
  <c r="Q56" i="109"/>
  <c r="P56" i="109"/>
  <c r="O56" i="109"/>
  <c r="N56" i="109"/>
  <c r="M56" i="109"/>
  <c r="L56" i="109"/>
  <c r="F49" i="109"/>
  <c r="G49" i="109"/>
  <c r="F50" i="109"/>
  <c r="G50" i="109"/>
  <c r="F51" i="109"/>
  <c r="G51" i="109"/>
  <c r="F52" i="109"/>
  <c r="G52" i="109"/>
  <c r="F53" i="109"/>
  <c r="G53" i="109"/>
  <c r="E50" i="109"/>
  <c r="E51" i="109"/>
  <c r="E52" i="109"/>
  <c r="E53" i="109"/>
  <c r="E49" i="109"/>
  <c r="F46" i="109"/>
  <c r="G46" i="109"/>
  <c r="H46" i="109"/>
  <c r="I46" i="109"/>
  <c r="F47" i="109"/>
  <c r="G47" i="109"/>
  <c r="H47" i="109"/>
  <c r="I47" i="109"/>
  <c r="E46" i="109"/>
  <c r="AB38" i="109"/>
  <c r="AA38" i="109"/>
  <c r="Z38" i="109"/>
  <c r="X38" i="109"/>
  <c r="W38" i="109"/>
  <c r="V38" i="109"/>
  <c r="U38" i="109"/>
  <c r="T38" i="109"/>
  <c r="S38" i="109"/>
  <c r="R38" i="109"/>
  <c r="Q38" i="109"/>
  <c r="P38" i="109"/>
  <c r="O38" i="109"/>
  <c r="N38" i="109"/>
  <c r="M38" i="109"/>
  <c r="L38" i="109"/>
  <c r="K38" i="109"/>
  <c r="J38" i="109"/>
  <c r="I38" i="109"/>
  <c r="H38" i="109"/>
  <c r="C38" i="109" s="1"/>
  <c r="G38" i="109"/>
  <c r="F38" i="109"/>
  <c r="E38" i="109"/>
  <c r="AB37" i="109"/>
  <c r="AA37" i="109"/>
  <c r="Z37" i="109"/>
  <c r="Y37" i="109"/>
  <c r="X37" i="109"/>
  <c r="W37" i="109"/>
  <c r="V37" i="109"/>
  <c r="U37" i="109"/>
  <c r="T37" i="109"/>
  <c r="S37" i="109"/>
  <c r="R37" i="109"/>
  <c r="Q37" i="109"/>
  <c r="P37" i="109"/>
  <c r="O37" i="109"/>
  <c r="N37" i="109"/>
  <c r="M37" i="109"/>
  <c r="L37" i="109"/>
  <c r="F30" i="109"/>
  <c r="G30" i="109"/>
  <c r="F31" i="109"/>
  <c r="G31" i="109"/>
  <c r="F32" i="109"/>
  <c r="G32" i="109"/>
  <c r="F33" i="109"/>
  <c r="G33" i="109"/>
  <c r="F34" i="109"/>
  <c r="G34" i="109"/>
  <c r="E31" i="109"/>
  <c r="E32" i="109"/>
  <c r="E33" i="109"/>
  <c r="E34" i="109"/>
  <c r="E30" i="109"/>
  <c r="F27" i="109"/>
  <c r="G27" i="109"/>
  <c r="H27" i="109"/>
  <c r="I27" i="109"/>
  <c r="F28" i="109"/>
  <c r="G28" i="109"/>
  <c r="H28" i="109"/>
  <c r="I28" i="109"/>
  <c r="E27" i="109"/>
  <c r="E28" i="109"/>
  <c r="C59" i="109"/>
  <c r="Q32" i="139" l="1"/>
  <c r="Q34" i="139" s="1"/>
  <c r="S33" i="139"/>
  <c r="W20" i="134"/>
  <c r="W16" i="134"/>
  <c r="W12" i="134"/>
  <c r="R16" i="139"/>
  <c r="V22" i="134"/>
  <c r="U13" i="109"/>
  <c r="K22" i="121" s="1"/>
  <c r="Q18" i="139"/>
  <c r="X17" i="134"/>
  <c r="T13" i="139" s="1"/>
  <c r="X21" i="134"/>
  <c r="T17" i="139" s="1"/>
  <c r="X13" i="134"/>
  <c r="T9" i="139" s="1"/>
  <c r="Q14" i="139"/>
  <c r="U12" i="109"/>
  <c r="J22" i="121" s="1"/>
  <c r="V14" i="134"/>
  <c r="R8" i="139"/>
  <c r="U11" i="109"/>
  <c r="Q10" i="139"/>
  <c r="R12" i="139"/>
  <c r="V18" i="134"/>
  <c r="E19" i="120"/>
  <c r="D19" i="120"/>
  <c r="F19" i="120"/>
  <c r="L58" i="109"/>
  <c r="P58" i="109"/>
  <c r="T58" i="109"/>
  <c r="X58" i="109"/>
  <c r="AB58" i="109"/>
  <c r="G54" i="109"/>
  <c r="E54" i="109"/>
  <c r="F54" i="109"/>
  <c r="M58" i="109"/>
  <c r="Q58" i="109"/>
  <c r="U58" i="109"/>
  <c r="Y58" i="109"/>
  <c r="G35" i="109"/>
  <c r="N58" i="109"/>
  <c r="R58" i="109"/>
  <c r="V58" i="109"/>
  <c r="Z58" i="109"/>
  <c r="E35" i="109"/>
  <c r="F35" i="109"/>
  <c r="O58" i="109"/>
  <c r="S58" i="109"/>
  <c r="W58" i="109"/>
  <c r="AA58" i="109"/>
  <c r="L20" i="109"/>
  <c r="M20" i="109"/>
  <c r="N20" i="109"/>
  <c r="O20" i="109"/>
  <c r="P20" i="109"/>
  <c r="Q20" i="109"/>
  <c r="R20" i="109"/>
  <c r="S20" i="109"/>
  <c r="T20" i="109"/>
  <c r="U20" i="109"/>
  <c r="V20" i="109"/>
  <c r="W20" i="109"/>
  <c r="X20" i="109"/>
  <c r="Y20" i="109"/>
  <c r="Z20" i="109"/>
  <c r="AA20" i="109"/>
  <c r="AB20" i="109"/>
  <c r="D22" i="121" l="1"/>
  <c r="R14" i="139"/>
  <c r="V12" i="109"/>
  <c r="J23" i="121" s="1"/>
  <c r="X12" i="134"/>
  <c r="X20" i="134"/>
  <c r="X16" i="134"/>
  <c r="V11" i="109"/>
  <c r="D23" i="121" s="1"/>
  <c r="R10" i="139"/>
  <c r="V13" i="109"/>
  <c r="K23" i="121" s="1"/>
  <c r="R18" i="139"/>
  <c r="S16" i="139"/>
  <c r="W22" i="134"/>
  <c r="Y13" i="134"/>
  <c r="U9" i="139" s="1"/>
  <c r="Y17" i="134"/>
  <c r="U13" i="139" s="1"/>
  <c r="Y21" i="134"/>
  <c r="U17" i="139" s="1"/>
  <c r="S8" i="139"/>
  <c r="W14" i="134"/>
  <c r="R32" i="139"/>
  <c r="T33" i="139"/>
  <c r="S12" i="139"/>
  <c r="W18" i="134"/>
  <c r="Y39" i="109"/>
  <c r="AM26" i="121"/>
  <c r="U39" i="109"/>
  <c r="AM22" i="121"/>
  <c r="Q39" i="109"/>
  <c r="AM18" i="121"/>
  <c r="M39" i="109"/>
  <c r="AM14" i="121"/>
  <c r="AB39" i="109"/>
  <c r="AM29" i="121"/>
  <c r="X39" i="109"/>
  <c r="AM25" i="121"/>
  <c r="T39" i="109"/>
  <c r="AM21" i="121"/>
  <c r="P39" i="109"/>
  <c r="AM17" i="121"/>
  <c r="L39" i="109"/>
  <c r="AM13" i="121"/>
  <c r="AA39" i="109"/>
  <c r="AM28" i="121"/>
  <c r="W39" i="109"/>
  <c r="AM24" i="121"/>
  <c r="S39" i="109"/>
  <c r="AM20" i="121"/>
  <c r="O39" i="109"/>
  <c r="AM16" i="121"/>
  <c r="Z39" i="109"/>
  <c r="AM27" i="121"/>
  <c r="V39" i="109"/>
  <c r="AM23" i="121"/>
  <c r="R39" i="109"/>
  <c r="AM19" i="121"/>
  <c r="N39" i="109"/>
  <c r="AM15" i="121"/>
  <c r="D20" i="120"/>
  <c r="E20" i="120"/>
  <c r="F20" i="120"/>
  <c r="J47" i="109"/>
  <c r="J28" i="109"/>
  <c r="E56" i="109"/>
  <c r="E58" i="109" s="1"/>
  <c r="E60" i="109" s="1"/>
  <c r="E37" i="109"/>
  <c r="J37" i="109"/>
  <c r="J56" i="109"/>
  <c r="I56" i="109"/>
  <c r="I37" i="109"/>
  <c r="H37" i="109"/>
  <c r="H56" i="109"/>
  <c r="J46" i="109"/>
  <c r="J27" i="109"/>
  <c r="K56" i="109"/>
  <c r="K37" i="109"/>
  <c r="G56" i="109"/>
  <c r="G37" i="109"/>
  <c r="K20" i="109"/>
  <c r="I20" i="109"/>
  <c r="AM10" i="121" s="1"/>
  <c r="H20" i="109"/>
  <c r="G20" i="109"/>
  <c r="AM8" i="121" s="1"/>
  <c r="E20" i="109"/>
  <c r="AN6" i="121" s="1"/>
  <c r="J20" i="109"/>
  <c r="AM11" i="121" s="1"/>
  <c r="AM9" i="121" l="1"/>
  <c r="AM30" i="121" s="1"/>
  <c r="C20" i="109"/>
  <c r="U33" i="139"/>
  <c r="Y20" i="134"/>
  <c r="Y16" i="134"/>
  <c r="Y12" i="134"/>
  <c r="T12" i="139"/>
  <c r="X18" i="134"/>
  <c r="T16" i="139"/>
  <c r="X22" i="134"/>
  <c r="R34" i="139"/>
  <c r="W11" i="109"/>
  <c r="D24" i="121" s="1"/>
  <c r="S10" i="139"/>
  <c r="S18" i="139"/>
  <c r="W13" i="109"/>
  <c r="K24" i="121" s="1"/>
  <c r="T8" i="139"/>
  <c r="X14" i="134"/>
  <c r="W12" i="109"/>
  <c r="J24" i="121" s="1"/>
  <c r="S14" i="139"/>
  <c r="S32" i="139"/>
  <c r="S34" i="139" s="1"/>
  <c r="Z21" i="134"/>
  <c r="V17" i="139" s="1"/>
  <c r="Z17" i="134"/>
  <c r="V13" i="139" s="1"/>
  <c r="Z13" i="134"/>
  <c r="V9" i="139" s="1"/>
  <c r="AO6" i="121"/>
  <c r="AP6" i="121"/>
  <c r="K39" i="109"/>
  <c r="AM12" i="121"/>
  <c r="D21" i="120"/>
  <c r="F21" i="120"/>
  <c r="E21" i="120"/>
  <c r="E39" i="109"/>
  <c r="E41" i="109" s="1"/>
  <c r="K58" i="109"/>
  <c r="H39" i="109"/>
  <c r="C39" i="109" s="1"/>
  <c r="J39" i="109"/>
  <c r="I39" i="109"/>
  <c r="J58" i="109"/>
  <c r="I58" i="109"/>
  <c r="G22" i="109"/>
  <c r="G39" i="109"/>
  <c r="G41" i="109" s="1"/>
  <c r="G58" i="109"/>
  <c r="G60" i="109" s="1"/>
  <c r="H58" i="109"/>
  <c r="C58" i="109" s="1"/>
  <c r="E22" i="109"/>
  <c r="H11" i="136"/>
  <c r="I11" i="136"/>
  <c r="J11" i="136"/>
  <c r="K11" i="136"/>
  <c r="L11" i="136"/>
  <c r="M11" i="136"/>
  <c r="N11" i="136"/>
  <c r="O11" i="136"/>
  <c r="P11" i="136"/>
  <c r="Q11" i="136"/>
  <c r="R11" i="136"/>
  <c r="S11" i="136"/>
  <c r="T11" i="136"/>
  <c r="U11" i="136"/>
  <c r="V11" i="136"/>
  <c r="W11" i="136"/>
  <c r="X11" i="136"/>
  <c r="Y11" i="136"/>
  <c r="Z11" i="136"/>
  <c r="AA11" i="136"/>
  <c r="AB11" i="136"/>
  <c r="T32" i="139" l="1"/>
  <c r="T34" i="139" s="1"/>
  <c r="T14" i="139"/>
  <c r="X12" i="109"/>
  <c r="J25" i="121" s="1"/>
  <c r="Y22" i="134"/>
  <c r="U16" i="139"/>
  <c r="AA21" i="134"/>
  <c r="W17" i="139" s="1"/>
  <c r="AA17" i="134"/>
  <c r="W13" i="139" s="1"/>
  <c r="AA13" i="134"/>
  <c r="W9" i="139" s="1"/>
  <c r="V33" i="139"/>
  <c r="Z20" i="134"/>
  <c r="Z12" i="134"/>
  <c r="Z16" i="134"/>
  <c r="U8" i="139"/>
  <c r="Y14" i="134"/>
  <c r="T10" i="139"/>
  <c r="X11" i="109"/>
  <c r="D25" i="121" s="1"/>
  <c r="T18" i="139"/>
  <c r="X13" i="109"/>
  <c r="K25" i="121" s="1"/>
  <c r="U12" i="139"/>
  <c r="Y18" i="134"/>
  <c r="F22" i="120"/>
  <c r="D22" i="120"/>
  <c r="E22" i="120"/>
  <c r="W33" i="139" l="1"/>
  <c r="D38" i="139" s="1"/>
  <c r="E38" i="139" s="1"/>
  <c r="V12" i="139"/>
  <c r="Z18" i="134"/>
  <c r="U10" i="139"/>
  <c r="Y11" i="109"/>
  <c r="D26" i="121" s="1"/>
  <c r="V16" i="139"/>
  <c r="Z22" i="134"/>
  <c r="U32" i="139"/>
  <c r="AA16" i="134"/>
  <c r="AA20" i="134"/>
  <c r="AA12" i="134"/>
  <c r="Y12" i="109"/>
  <c r="J26" i="121" s="1"/>
  <c r="U14" i="139"/>
  <c r="V8" i="139"/>
  <c r="Z14" i="134"/>
  <c r="Y13" i="109"/>
  <c r="K26" i="121" s="1"/>
  <c r="U18" i="139"/>
  <c r="F23" i="120"/>
  <c r="E23" i="120"/>
  <c r="D23" i="120"/>
  <c r="W8" i="139" l="1"/>
  <c r="AA14" i="134"/>
  <c r="Z11" i="109"/>
  <c r="D27" i="121" s="1"/>
  <c r="V10" i="139"/>
  <c r="W16" i="139"/>
  <c r="AA22" i="134"/>
  <c r="V32" i="139"/>
  <c r="V34" i="139" s="1"/>
  <c r="W12" i="139"/>
  <c r="AA18" i="134"/>
  <c r="U34" i="139"/>
  <c r="Z13" i="109"/>
  <c r="K27" i="121" s="1"/>
  <c r="V18" i="139"/>
  <c r="V14" i="139"/>
  <c r="Z12" i="109"/>
  <c r="J27" i="121" s="1"/>
  <c r="F24" i="120"/>
  <c r="E24" i="120"/>
  <c r="D24" i="120"/>
  <c r="AA11" i="109" l="1"/>
  <c r="W10" i="139"/>
  <c r="AA12" i="109"/>
  <c r="W14" i="139"/>
  <c r="W32" i="139"/>
  <c r="E37" i="139" s="1"/>
  <c r="AA13" i="109"/>
  <c r="W18" i="139"/>
  <c r="F25" i="120"/>
  <c r="D25" i="120"/>
  <c r="E25" i="120"/>
  <c r="D5" i="93"/>
  <c r="F5" i="93"/>
  <c r="C5" i="93"/>
  <c r="E4" i="93"/>
  <c r="E5" i="93" s="1"/>
  <c r="K12" i="8"/>
  <c r="K7" i="8"/>
  <c r="K8" i="8"/>
  <c r="K9" i="8"/>
  <c r="K10" i="8"/>
  <c r="K6" i="8"/>
  <c r="G18" i="8"/>
  <c r="D12" i="7"/>
  <c r="D13" i="7"/>
  <c r="D14" i="7"/>
  <c r="D15" i="7"/>
  <c r="D16" i="7"/>
  <c r="D17" i="7"/>
  <c r="D18" i="7"/>
  <c r="D19" i="7"/>
  <c r="D20" i="7"/>
  <c r="D21" i="7"/>
  <c r="D22" i="7"/>
  <c r="D23" i="7"/>
  <c r="D24" i="7"/>
  <c r="D25" i="7"/>
  <c r="D26" i="7"/>
  <c r="D27" i="7"/>
  <c r="D28" i="7"/>
  <c r="D29" i="7"/>
  <c r="D30" i="7"/>
  <c r="D31" i="7"/>
  <c r="D32" i="7"/>
  <c r="D33" i="7"/>
  <c r="D34" i="7"/>
  <c r="D35" i="7"/>
  <c r="D36" i="7"/>
  <c r="D38" i="7"/>
  <c r="D39" i="7"/>
  <c r="D40" i="7"/>
  <c r="D41" i="7"/>
  <c r="D42" i="7"/>
  <c r="D43" i="7"/>
  <c r="D44" i="7"/>
  <c r="D45" i="7"/>
  <c r="D46" i="7"/>
  <c r="D47" i="7"/>
  <c r="D48" i="7"/>
  <c r="D49" i="7"/>
  <c r="D50" i="7"/>
  <c r="D51" i="7"/>
  <c r="D52" i="7"/>
  <c r="D53" i="7"/>
  <c r="D54" i="7"/>
  <c r="D55" i="7"/>
  <c r="D56" i="7"/>
  <c r="D57" i="7"/>
  <c r="D58" i="7"/>
  <c r="D59" i="7"/>
  <c r="D60" i="7"/>
  <c r="D61" i="7"/>
  <c r="D62" i="7"/>
  <c r="D37" i="7"/>
  <c r="C43" i="7"/>
  <c r="C44" i="7"/>
  <c r="C45" i="7"/>
  <c r="C46" i="7"/>
  <c r="C47" i="7"/>
  <c r="C48" i="7"/>
  <c r="C49" i="7"/>
  <c r="C50" i="7"/>
  <c r="C51" i="7"/>
  <c r="C52" i="7"/>
  <c r="C53" i="7"/>
  <c r="C54" i="7"/>
  <c r="C55" i="7"/>
  <c r="C56" i="7"/>
  <c r="C57" i="7"/>
  <c r="C58" i="7"/>
  <c r="C59" i="7"/>
  <c r="C60" i="7"/>
  <c r="C61" i="7"/>
  <c r="C62"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K28" i="121" l="1"/>
  <c r="C13" i="109"/>
  <c r="D28" i="121"/>
  <c r="C11" i="109"/>
  <c r="J28" i="121"/>
  <c r="C12" i="109"/>
  <c r="W34" i="139"/>
  <c r="F26" i="120"/>
  <c r="D26" i="120"/>
  <c r="E26" i="120"/>
  <c r="M30" i="120"/>
  <c r="AB46" i="109"/>
  <c r="AB27" i="109"/>
  <c r="AB47" i="109"/>
  <c r="AB28" i="109"/>
  <c r="M13" i="120"/>
  <c r="D21" i="136"/>
  <c r="F21" i="136" s="1"/>
  <c r="D17" i="136"/>
  <c r="F17" i="136" s="1"/>
  <c r="G15" i="136"/>
  <c r="G19" i="136"/>
  <c r="G23" i="136"/>
  <c r="G27" i="136"/>
  <c r="K17" i="136" l="1"/>
  <c r="V17" i="136"/>
  <c r="I17" i="136"/>
  <c r="Y17" i="136"/>
  <c r="N17" i="136"/>
  <c r="Q17" i="136"/>
  <c r="M17" i="136"/>
  <c r="Z17" i="136"/>
  <c r="P17" i="136"/>
  <c r="S17" i="136"/>
  <c r="R17" i="136"/>
  <c r="AB17" i="136"/>
  <c r="L17" i="136"/>
  <c r="O17" i="136"/>
  <c r="H17" i="136"/>
  <c r="J17" i="136"/>
  <c r="X17" i="136"/>
  <c r="AA17" i="136"/>
  <c r="U17" i="136"/>
  <c r="T17" i="136"/>
  <c r="W17" i="136"/>
  <c r="L21" i="136"/>
  <c r="P21" i="136"/>
  <c r="T21" i="136"/>
  <c r="X21" i="136"/>
  <c r="AB21" i="136"/>
  <c r="I21" i="136"/>
  <c r="M21" i="136"/>
  <c r="Q21" i="136"/>
  <c r="U21" i="136"/>
  <c r="Y21" i="136"/>
  <c r="H21" i="136"/>
  <c r="O21" i="136"/>
  <c r="W21" i="136"/>
  <c r="K21" i="136"/>
  <c r="AA21" i="136"/>
  <c r="J21" i="136"/>
  <c r="R21" i="136"/>
  <c r="Z21" i="136"/>
  <c r="S21" i="136"/>
  <c r="N21" i="136"/>
  <c r="V21" i="136"/>
  <c r="F27" i="120"/>
  <c r="D27" i="120"/>
  <c r="E27" i="120"/>
  <c r="M14" i="120"/>
  <c r="L46" i="109"/>
  <c r="L27" i="109"/>
  <c r="K47" i="109"/>
  <c r="K28" i="109"/>
  <c r="K46" i="109"/>
  <c r="K27" i="109"/>
  <c r="F29" i="120" l="1"/>
  <c r="F28" i="120"/>
  <c r="D29" i="120"/>
  <c r="D28" i="120"/>
  <c r="E29" i="120"/>
  <c r="E28" i="120"/>
  <c r="M15" i="120"/>
  <c r="M16" i="120"/>
  <c r="M27" i="109"/>
  <c r="M46" i="109"/>
  <c r="L47" i="109"/>
  <c r="L28" i="109"/>
  <c r="B48" i="7"/>
  <c r="B49" i="7"/>
  <c r="B50" i="7"/>
  <c r="B51" i="7"/>
  <c r="B52" i="7" s="1"/>
  <c r="B53" i="7" s="1"/>
  <c r="B54" i="7" s="1"/>
  <c r="B55" i="7" s="1"/>
  <c r="B56" i="7" s="1"/>
  <c r="B57" i="7" s="1"/>
  <c r="B58" i="7" s="1"/>
  <c r="B59" i="7" s="1"/>
  <c r="B60" i="7" s="1"/>
  <c r="B61" i="7" s="1"/>
  <c r="B62" i="7" s="1"/>
  <c r="B46" i="7"/>
  <c r="D31" i="120" l="1"/>
  <c r="E31" i="120"/>
  <c r="F31" i="120"/>
  <c r="N46" i="109"/>
  <c r="N27" i="109"/>
  <c r="M47" i="109"/>
  <c r="M28" i="109"/>
  <c r="C85" i="19"/>
  <c r="C88" i="19"/>
  <c r="M17" i="120" l="1"/>
  <c r="O46" i="109"/>
  <c r="O27" i="109"/>
  <c r="N28" i="109"/>
  <c r="N47" i="109"/>
  <c r="M18" i="120"/>
  <c r="H56" i="19"/>
  <c r="D29" i="136" s="1"/>
  <c r="F29" i="136" s="1"/>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55" i="19"/>
  <c r="J29" i="136" l="1"/>
  <c r="Z29" i="136"/>
  <c r="W29" i="136"/>
  <c r="Y29" i="136"/>
  <c r="T29" i="136"/>
  <c r="X29" i="136"/>
  <c r="N29" i="136"/>
  <c r="K29" i="136"/>
  <c r="AA29" i="136"/>
  <c r="M29" i="136"/>
  <c r="AB29" i="136"/>
  <c r="R29" i="136"/>
  <c r="O29" i="136"/>
  <c r="I29" i="136"/>
  <c r="H29" i="136"/>
  <c r="U29" i="136"/>
  <c r="V29" i="136"/>
  <c r="S29" i="136"/>
  <c r="Q29" i="136"/>
  <c r="L29" i="136"/>
  <c r="P29" i="136"/>
  <c r="M19" i="120"/>
  <c r="O28" i="109"/>
  <c r="O47" i="109"/>
  <c r="P46" i="109"/>
  <c r="P27" i="109"/>
  <c r="H55" i="19"/>
  <c r="D28" i="136" s="1"/>
  <c r="F28" i="136" s="1"/>
  <c r="N28" i="136" l="1"/>
  <c r="N30" i="136" s="1"/>
  <c r="K28" i="136"/>
  <c r="K30" i="136" s="1"/>
  <c r="AA28" i="136"/>
  <c r="AA30" i="136" s="1"/>
  <c r="P28" i="136"/>
  <c r="P30" i="136" s="1"/>
  <c r="T28" i="136"/>
  <c r="T30" i="136" s="1"/>
  <c r="R28" i="136"/>
  <c r="R30" i="136" s="1"/>
  <c r="O28" i="136"/>
  <c r="O30" i="136" s="1"/>
  <c r="M28" i="136"/>
  <c r="M30" i="136" s="1"/>
  <c r="X28" i="136"/>
  <c r="X30" i="136" s="1"/>
  <c r="AB28" i="136"/>
  <c r="AB30" i="136" s="1"/>
  <c r="V28" i="136"/>
  <c r="V30" i="136" s="1"/>
  <c r="S28" i="136"/>
  <c r="S30" i="136" s="1"/>
  <c r="U28" i="136"/>
  <c r="U30" i="136" s="1"/>
  <c r="I28" i="136"/>
  <c r="I30" i="136" s="1"/>
  <c r="H28" i="136"/>
  <c r="H30" i="136" s="1"/>
  <c r="J28" i="136"/>
  <c r="J30" i="136" s="1"/>
  <c r="Z28" i="136"/>
  <c r="Z30" i="136" s="1"/>
  <c r="W28" i="136"/>
  <c r="W30" i="136" s="1"/>
  <c r="Q28" i="136"/>
  <c r="Q30" i="136" s="1"/>
  <c r="Y28" i="136"/>
  <c r="Y30" i="136" s="1"/>
  <c r="L28" i="136"/>
  <c r="L30" i="136" s="1"/>
  <c r="Q46" i="109"/>
  <c r="Q27" i="109"/>
  <c r="P28" i="109"/>
  <c r="P47" i="109"/>
  <c r="M20" i="120"/>
  <c r="B38" i="7"/>
  <c r="B39" i="7" s="1"/>
  <c r="G10" i="7"/>
  <c r="F50" i="19"/>
  <c r="D50" i="19"/>
  <c r="C50" i="19"/>
  <c r="E49" i="19"/>
  <c r="J48" i="19"/>
  <c r="K48" i="19" s="1"/>
  <c r="E48" i="19"/>
  <c r="J47" i="19"/>
  <c r="I47" i="19"/>
  <c r="K47" i="19" s="1"/>
  <c r="E47" i="19"/>
  <c r="J46" i="19"/>
  <c r="K46" i="19" s="1"/>
  <c r="E46" i="19"/>
  <c r="J45" i="19"/>
  <c r="K45" i="19" s="1"/>
  <c r="E45" i="19"/>
  <c r="J44" i="19"/>
  <c r="K44" i="19" s="1"/>
  <c r="E44" i="19"/>
  <c r="C38" i="19"/>
  <c r="D25" i="136" s="1"/>
  <c r="F25" i="136" s="1"/>
  <c r="G26" i="19"/>
  <c r="D12" i="136" s="1"/>
  <c r="F12" i="136" s="1"/>
  <c r="F26" i="19"/>
  <c r="D26" i="19"/>
  <c r="E25" i="19"/>
  <c r="F25" i="19" s="1"/>
  <c r="C25" i="19"/>
  <c r="G24" i="19"/>
  <c r="F24" i="19"/>
  <c r="D24" i="19"/>
  <c r="H24" i="19" s="1"/>
  <c r="G23" i="19"/>
  <c r="F23" i="19"/>
  <c r="D23" i="19"/>
  <c r="G22" i="19"/>
  <c r="D20" i="136" s="1"/>
  <c r="F20" i="136" s="1"/>
  <c r="F22" i="19"/>
  <c r="D22" i="19"/>
  <c r="G21" i="19"/>
  <c r="F21" i="19"/>
  <c r="D21" i="19"/>
  <c r="G20" i="19"/>
  <c r="F20" i="19"/>
  <c r="D20" i="19"/>
  <c r="H20" i="19" s="1"/>
  <c r="G19" i="19"/>
  <c r="D16" i="136" s="1"/>
  <c r="F16" i="136" s="1"/>
  <c r="F19" i="19"/>
  <c r="D19" i="19"/>
  <c r="L25" i="136" l="1"/>
  <c r="H25" i="136"/>
  <c r="U25" i="136"/>
  <c r="S25" i="136"/>
  <c r="K25" i="136"/>
  <c r="P25" i="136"/>
  <c r="I25" i="136"/>
  <c r="Y25" i="136"/>
  <c r="J25" i="136"/>
  <c r="AA25" i="136"/>
  <c r="N25" i="136"/>
  <c r="T25" i="136"/>
  <c r="M25" i="136"/>
  <c r="O25" i="136"/>
  <c r="R25" i="136"/>
  <c r="V25" i="136"/>
  <c r="AB25" i="136"/>
  <c r="X25" i="136"/>
  <c r="Q25" i="136"/>
  <c r="W25" i="136"/>
  <c r="Z25" i="136"/>
  <c r="Y16" i="136"/>
  <c r="Y18" i="136" s="1"/>
  <c r="R16" i="136"/>
  <c r="R18" i="136" s="1"/>
  <c r="N16" i="136"/>
  <c r="N18" i="136" s="1"/>
  <c r="Z16" i="136"/>
  <c r="Z18" i="136" s="1"/>
  <c r="O16" i="136"/>
  <c r="O18" i="136" s="1"/>
  <c r="J16" i="136"/>
  <c r="J18" i="136" s="1"/>
  <c r="X16" i="136"/>
  <c r="X18" i="136" s="1"/>
  <c r="U16" i="136"/>
  <c r="U18" i="136" s="1"/>
  <c r="I16" i="136"/>
  <c r="I18" i="136" s="1"/>
  <c r="Q16" i="136"/>
  <c r="Q18" i="136" s="1"/>
  <c r="V16" i="136"/>
  <c r="V18" i="136" s="1"/>
  <c r="H16" i="136"/>
  <c r="H18" i="136" s="1"/>
  <c r="AA16" i="136"/>
  <c r="AA18" i="136" s="1"/>
  <c r="T16" i="136"/>
  <c r="T18" i="136" s="1"/>
  <c r="P16" i="136"/>
  <c r="P18" i="136" s="1"/>
  <c r="AB16" i="136"/>
  <c r="AB18" i="136" s="1"/>
  <c r="M16" i="136"/>
  <c r="M18" i="136" s="1"/>
  <c r="K16" i="136"/>
  <c r="K18" i="136" s="1"/>
  <c r="W16" i="136"/>
  <c r="W18" i="136" s="1"/>
  <c r="S16" i="136"/>
  <c r="S18" i="136" s="1"/>
  <c r="L16" i="136"/>
  <c r="L18" i="136" s="1"/>
  <c r="L12" i="136"/>
  <c r="K12" i="136"/>
  <c r="AA12" i="136"/>
  <c r="P12" i="136"/>
  <c r="I12" i="136"/>
  <c r="J12" i="136"/>
  <c r="O12" i="136"/>
  <c r="M12" i="136"/>
  <c r="T12" i="136"/>
  <c r="Q12" i="136"/>
  <c r="Z12" i="136"/>
  <c r="S12" i="136"/>
  <c r="U12" i="136"/>
  <c r="X12" i="136"/>
  <c r="Y12" i="136"/>
  <c r="N12" i="136"/>
  <c r="W12" i="136"/>
  <c r="AB12" i="136"/>
  <c r="H12" i="136"/>
  <c r="V12" i="136"/>
  <c r="R12" i="136"/>
  <c r="K20" i="136"/>
  <c r="K22" i="136" s="1"/>
  <c r="AA20" i="136"/>
  <c r="AA22" i="136" s="1"/>
  <c r="P20" i="136"/>
  <c r="P22" i="136" s="1"/>
  <c r="R20" i="136"/>
  <c r="R22" i="136" s="1"/>
  <c r="U20" i="136"/>
  <c r="U22" i="136" s="1"/>
  <c r="Y20" i="136"/>
  <c r="Y22" i="136" s="1"/>
  <c r="O20" i="136"/>
  <c r="O22" i="136" s="1"/>
  <c r="H20" i="136"/>
  <c r="H22" i="136" s="1"/>
  <c r="T20" i="136"/>
  <c r="T22" i="136" s="1"/>
  <c r="Z20" i="136"/>
  <c r="Z22" i="136" s="1"/>
  <c r="V20" i="136"/>
  <c r="V22" i="136" s="1"/>
  <c r="S20" i="136"/>
  <c r="S22" i="136" s="1"/>
  <c r="AB20" i="136"/>
  <c r="AB22" i="136" s="1"/>
  <c r="X20" i="136"/>
  <c r="X22" i="136" s="1"/>
  <c r="N20" i="136"/>
  <c r="N22" i="136" s="1"/>
  <c r="I20" i="136"/>
  <c r="I22" i="136" s="1"/>
  <c r="W20" i="136"/>
  <c r="W22" i="136" s="1"/>
  <c r="L20" i="136"/>
  <c r="L22" i="136" s="1"/>
  <c r="J20" i="136"/>
  <c r="J22" i="136" s="1"/>
  <c r="M20" i="136"/>
  <c r="M22" i="136" s="1"/>
  <c r="Q20" i="136"/>
  <c r="Q22" i="136" s="1"/>
  <c r="M21" i="120"/>
  <c r="R27" i="109"/>
  <c r="R46" i="109"/>
  <c r="Q28" i="109"/>
  <c r="Q47" i="109"/>
  <c r="B40" i="7"/>
  <c r="B41" i="7" s="1"/>
  <c r="B42" i="7" s="1"/>
  <c r="B43" i="7" s="1"/>
  <c r="B44" i="7" s="1"/>
  <c r="B45" i="7" s="1"/>
  <c r="B47" i="7" s="1"/>
  <c r="F33" i="19"/>
  <c r="H21" i="19"/>
  <c r="H19" i="19"/>
  <c r="H23" i="19"/>
  <c r="H22" i="19"/>
  <c r="H26" i="19"/>
  <c r="G25" i="19"/>
  <c r="D24" i="136" s="1"/>
  <c r="F24" i="136" s="1"/>
  <c r="E50" i="19"/>
  <c r="D25" i="19"/>
  <c r="H25" i="19" s="1"/>
  <c r="T24" i="136" l="1"/>
  <c r="T26" i="136" s="1"/>
  <c r="M24" i="136"/>
  <c r="M26" i="136" s="1"/>
  <c r="K24" i="136"/>
  <c r="K26" i="136" s="1"/>
  <c r="W24" i="136"/>
  <c r="W26" i="136" s="1"/>
  <c r="J24" i="136"/>
  <c r="J26" i="136" s="1"/>
  <c r="X24" i="136"/>
  <c r="X26" i="136" s="1"/>
  <c r="Q24" i="136"/>
  <c r="Q26" i="136" s="1"/>
  <c r="S24" i="136"/>
  <c r="S26" i="136" s="1"/>
  <c r="N24" i="136"/>
  <c r="N26" i="136" s="1"/>
  <c r="R24" i="136"/>
  <c r="R26" i="136" s="1"/>
  <c r="L24" i="136"/>
  <c r="L26" i="136" s="1"/>
  <c r="AB24" i="136"/>
  <c r="AB26" i="136" s="1"/>
  <c r="U24" i="136"/>
  <c r="U26" i="136" s="1"/>
  <c r="AA24" i="136"/>
  <c r="AA26" i="136" s="1"/>
  <c r="V24" i="136"/>
  <c r="V26" i="136" s="1"/>
  <c r="Z24" i="136"/>
  <c r="Z26" i="136" s="1"/>
  <c r="P24" i="136"/>
  <c r="P26" i="136" s="1"/>
  <c r="I24" i="136"/>
  <c r="I26" i="136" s="1"/>
  <c r="Y24" i="136"/>
  <c r="Y26" i="136" s="1"/>
  <c r="H24" i="136"/>
  <c r="H26" i="136" s="1"/>
  <c r="O24" i="136"/>
  <c r="O26" i="136" s="1"/>
  <c r="R32" i="136"/>
  <c r="N24" i="139" s="1"/>
  <c r="N28" i="139" s="1"/>
  <c r="D13" i="136"/>
  <c r="F13" i="136" s="1"/>
  <c r="M22" i="120"/>
  <c r="S27" i="109"/>
  <c r="S46" i="109"/>
  <c r="R28" i="109"/>
  <c r="R47" i="109"/>
  <c r="K18" i="8"/>
  <c r="K17" i="8"/>
  <c r="AA32" i="136" l="1"/>
  <c r="W24" i="139" s="1"/>
  <c r="W28" i="139" s="1"/>
  <c r="T32" i="136"/>
  <c r="P24" i="139" s="1"/>
  <c r="P28" i="139" s="1"/>
  <c r="N32" i="136"/>
  <c r="J24" i="139" s="1"/>
  <c r="J28" i="139" s="1"/>
  <c r="O32" i="136"/>
  <c r="K24" i="139" s="1"/>
  <c r="K28" i="139" s="1"/>
  <c r="Z32" i="136"/>
  <c r="V24" i="139" s="1"/>
  <c r="V28" i="139" s="1"/>
  <c r="W32" i="136"/>
  <c r="S24" i="139" s="1"/>
  <c r="S28" i="139" s="1"/>
  <c r="S32" i="136"/>
  <c r="O24" i="139" s="1"/>
  <c r="O28" i="139" s="1"/>
  <c r="H32" i="136"/>
  <c r="D24" i="139" s="1"/>
  <c r="L32" i="136"/>
  <c r="H24" i="139" s="1"/>
  <c r="H28" i="139" s="1"/>
  <c r="I32" i="136"/>
  <c r="E24" i="139" s="1"/>
  <c r="E28" i="139" s="1"/>
  <c r="M32" i="136"/>
  <c r="I24" i="139" s="1"/>
  <c r="I28" i="139" s="1"/>
  <c r="J32" i="136"/>
  <c r="F24" i="139" s="1"/>
  <c r="F28" i="139" s="1"/>
  <c r="K13" i="136"/>
  <c r="K33" i="136" s="1"/>
  <c r="G25" i="139" s="1"/>
  <c r="G29" i="139" s="1"/>
  <c r="L13" i="136"/>
  <c r="L14" i="136" s="1"/>
  <c r="L34" i="136" s="1"/>
  <c r="AB13" i="136"/>
  <c r="AB33" i="136" s="1"/>
  <c r="X25" i="139" s="1"/>
  <c r="X29" i="139" s="1"/>
  <c r="J13" i="136"/>
  <c r="J14" i="136" s="1"/>
  <c r="J34" i="136" s="1"/>
  <c r="Y13" i="136"/>
  <c r="Y33" i="136" s="1"/>
  <c r="U25" i="139" s="1"/>
  <c r="U29" i="139" s="1"/>
  <c r="U13" i="136"/>
  <c r="U14" i="136" s="1"/>
  <c r="U34" i="136" s="1"/>
  <c r="O13" i="136"/>
  <c r="O33" i="136" s="1"/>
  <c r="K25" i="139" s="1"/>
  <c r="K29" i="139" s="1"/>
  <c r="P13" i="136"/>
  <c r="P14" i="136" s="1"/>
  <c r="P34" i="136" s="1"/>
  <c r="N13" i="136"/>
  <c r="N33" i="136" s="1"/>
  <c r="J25" i="139" s="1"/>
  <c r="J29" i="139" s="1"/>
  <c r="Z13" i="136"/>
  <c r="Z14" i="136" s="1"/>
  <c r="Z34" i="136" s="1"/>
  <c r="R13" i="136"/>
  <c r="R33" i="136" s="1"/>
  <c r="N25" i="139" s="1"/>
  <c r="N29" i="139" s="1"/>
  <c r="S13" i="136"/>
  <c r="S14" i="136" s="1"/>
  <c r="S34" i="136" s="1"/>
  <c r="T13" i="136"/>
  <c r="T33" i="136" s="1"/>
  <c r="P25" i="139" s="1"/>
  <c r="P29" i="139" s="1"/>
  <c r="V13" i="136"/>
  <c r="V33" i="136" s="1"/>
  <c r="R25" i="139" s="1"/>
  <c r="R29" i="139" s="1"/>
  <c r="I13" i="136"/>
  <c r="I14" i="136" s="1"/>
  <c r="I34" i="136" s="1"/>
  <c r="AA13" i="136"/>
  <c r="AA14" i="136" s="1"/>
  <c r="AA34" i="136" s="1"/>
  <c r="W13" i="136"/>
  <c r="W33" i="136" s="1"/>
  <c r="S25" i="139" s="1"/>
  <c r="S29" i="139" s="1"/>
  <c r="X13" i="136"/>
  <c r="X14" i="136" s="1"/>
  <c r="X34" i="136" s="1"/>
  <c r="H13" i="136"/>
  <c r="H33" i="136" s="1"/>
  <c r="D25" i="139" s="1"/>
  <c r="D29" i="139" s="1"/>
  <c r="Q13" i="136"/>
  <c r="Q14" i="136" s="1"/>
  <c r="Q34" i="136" s="1"/>
  <c r="M13" i="136"/>
  <c r="M33" i="136" s="1"/>
  <c r="I25" i="139" s="1"/>
  <c r="I29" i="139" s="1"/>
  <c r="Q32" i="136"/>
  <c r="M24" i="139" s="1"/>
  <c r="M28" i="139" s="1"/>
  <c r="X32" i="136"/>
  <c r="T24" i="139" s="1"/>
  <c r="T28" i="139" s="1"/>
  <c r="Y32" i="136"/>
  <c r="U24" i="139" s="1"/>
  <c r="U28" i="139" s="1"/>
  <c r="P32" i="136"/>
  <c r="L24" i="139" s="1"/>
  <c r="L28" i="139" s="1"/>
  <c r="V32" i="136"/>
  <c r="R24" i="139" s="1"/>
  <c r="R28" i="139" s="1"/>
  <c r="U32" i="136"/>
  <c r="Q24" i="139" s="1"/>
  <c r="Q28" i="139" s="1"/>
  <c r="K32" i="136"/>
  <c r="G24" i="139" s="1"/>
  <c r="G28" i="139" s="1"/>
  <c r="AB32" i="136"/>
  <c r="X24" i="139" s="1"/>
  <c r="X28" i="139" s="1"/>
  <c r="X33" i="136"/>
  <c r="T25" i="139" s="1"/>
  <c r="T29" i="139" s="1"/>
  <c r="I10" i="120"/>
  <c r="K11" i="120"/>
  <c r="K10" i="120"/>
  <c r="I11" i="120"/>
  <c r="T46" i="109"/>
  <c r="T27" i="109"/>
  <c r="S47" i="109"/>
  <c r="S28" i="109"/>
  <c r="K19" i="120"/>
  <c r="K17" i="120"/>
  <c r="K18" i="120"/>
  <c r="K14" i="120"/>
  <c r="K16" i="120"/>
  <c r="K15" i="120"/>
  <c r="K12" i="120"/>
  <c r="K20" i="120"/>
  <c r="K13" i="120"/>
  <c r="K30" i="120"/>
  <c r="I30" i="120"/>
  <c r="I14" i="120"/>
  <c r="I20" i="120"/>
  <c r="I12" i="120"/>
  <c r="I17" i="120"/>
  <c r="I16" i="120"/>
  <c r="I21" i="120"/>
  <c r="I22" i="120"/>
  <c r="I19" i="120"/>
  <c r="I18" i="120"/>
  <c r="I15" i="120"/>
  <c r="I15" i="8"/>
  <c r="H14" i="8"/>
  <c r="J16" i="8"/>
  <c r="U33" i="136" l="1"/>
  <c r="Q25" i="139" s="1"/>
  <c r="Q29" i="139" s="1"/>
  <c r="Q15" i="109"/>
  <c r="X18" i="121" s="1"/>
  <c r="Y18" i="121" s="1"/>
  <c r="M26" i="139"/>
  <c r="M30" i="139" s="1"/>
  <c r="AA15" i="109"/>
  <c r="X28" i="121" s="1"/>
  <c r="W26" i="139"/>
  <c r="W30" i="139" s="1"/>
  <c r="S15" i="109"/>
  <c r="X20" i="121" s="1"/>
  <c r="O26" i="139"/>
  <c r="O30" i="139" s="1"/>
  <c r="P15" i="109"/>
  <c r="X17" i="121" s="1"/>
  <c r="Y17" i="121" s="1"/>
  <c r="L26" i="139"/>
  <c r="L30" i="139" s="1"/>
  <c r="J15" i="109"/>
  <c r="X11" i="121" s="1"/>
  <c r="Z11" i="121" s="1"/>
  <c r="F26" i="139"/>
  <c r="F30" i="139" s="1"/>
  <c r="Z33" i="136"/>
  <c r="V25" i="139" s="1"/>
  <c r="V29" i="139" s="1"/>
  <c r="I15" i="109"/>
  <c r="X10" i="121" s="1"/>
  <c r="Y10" i="121" s="1"/>
  <c r="E26" i="139"/>
  <c r="E30" i="139" s="1"/>
  <c r="X15" i="109"/>
  <c r="X25" i="121" s="1"/>
  <c r="T26" i="139"/>
  <c r="T30" i="139" s="1"/>
  <c r="Z15" i="109"/>
  <c r="X27" i="121" s="1"/>
  <c r="V26" i="139"/>
  <c r="V30" i="139" s="1"/>
  <c r="U15" i="109"/>
  <c r="X22" i="121" s="1"/>
  <c r="Q26" i="139"/>
  <c r="Q30" i="139" s="1"/>
  <c r="L15" i="109"/>
  <c r="X13" i="121" s="1"/>
  <c r="Y13" i="121" s="1"/>
  <c r="H26" i="139"/>
  <c r="H30" i="139" s="1"/>
  <c r="L33" i="136"/>
  <c r="H25" i="139" s="1"/>
  <c r="H29" i="139" s="1"/>
  <c r="V14" i="136"/>
  <c r="V34" i="136" s="1"/>
  <c r="Y14" i="136"/>
  <c r="Y34" i="136" s="1"/>
  <c r="K14" i="136"/>
  <c r="K34" i="136" s="1"/>
  <c r="S33" i="136"/>
  <c r="O25" i="139" s="1"/>
  <c r="O29" i="139" s="1"/>
  <c r="T14" i="136"/>
  <c r="T34" i="136" s="1"/>
  <c r="O14" i="136"/>
  <c r="O34" i="136" s="1"/>
  <c r="Q33" i="136"/>
  <c r="M25" i="139" s="1"/>
  <c r="M29" i="139" s="1"/>
  <c r="N14" i="136"/>
  <c r="N34" i="136" s="1"/>
  <c r="W14" i="136"/>
  <c r="W34" i="136" s="1"/>
  <c r="M14" i="136"/>
  <c r="M34" i="136" s="1"/>
  <c r="AB14" i="136"/>
  <c r="AB34" i="136" s="1"/>
  <c r="R14" i="136"/>
  <c r="R34" i="136" s="1"/>
  <c r="I33" i="136"/>
  <c r="E25" i="139" s="1"/>
  <c r="E29" i="139" s="1"/>
  <c r="P33" i="136"/>
  <c r="L25" i="139" s="1"/>
  <c r="L29" i="139" s="1"/>
  <c r="J33" i="136"/>
  <c r="F25" i="139" s="1"/>
  <c r="F29" i="139" s="1"/>
  <c r="AA33" i="136"/>
  <c r="W25" i="139" s="1"/>
  <c r="W29" i="139" s="1"/>
  <c r="H14" i="136"/>
  <c r="H34" i="136" s="1"/>
  <c r="H51" i="109"/>
  <c r="H32" i="109"/>
  <c r="I51" i="109"/>
  <c r="I32" i="109"/>
  <c r="M24" i="120"/>
  <c r="M23" i="120"/>
  <c r="U46" i="109"/>
  <c r="U27" i="109"/>
  <c r="T28" i="109"/>
  <c r="T47" i="109"/>
  <c r="Q51" i="109"/>
  <c r="T32" i="109"/>
  <c r="J32" i="109"/>
  <c r="L51" i="109"/>
  <c r="S51" i="109"/>
  <c r="R51" i="109"/>
  <c r="N32" i="109"/>
  <c r="AB51" i="109"/>
  <c r="M51" i="109"/>
  <c r="P51" i="109"/>
  <c r="O32" i="109"/>
  <c r="K22" i="120"/>
  <c r="Z13" i="121" l="1"/>
  <c r="Q53" i="109"/>
  <c r="I34" i="109"/>
  <c r="Z18" i="121"/>
  <c r="Z10" i="121"/>
  <c r="J53" i="109"/>
  <c r="Y11" i="121"/>
  <c r="P53" i="109"/>
  <c r="Z17" i="121"/>
  <c r="L34" i="109"/>
  <c r="M15" i="109"/>
  <c r="X14" i="121" s="1"/>
  <c r="Z14" i="121" s="1"/>
  <c r="I26" i="139"/>
  <c r="I30" i="139" s="1"/>
  <c r="O15" i="109"/>
  <c r="X16" i="121" s="1"/>
  <c r="K26" i="139"/>
  <c r="K30" i="139" s="1"/>
  <c r="Y15" i="109"/>
  <c r="X26" i="121" s="1"/>
  <c r="U26" i="139"/>
  <c r="U30" i="139" s="1"/>
  <c r="I53" i="109"/>
  <c r="H15" i="109"/>
  <c r="D26" i="139"/>
  <c r="D30" i="139" s="1"/>
  <c r="W15" i="109"/>
  <c r="X24" i="121" s="1"/>
  <c r="S26" i="139"/>
  <c r="S30" i="139" s="1"/>
  <c r="T15" i="109"/>
  <c r="X21" i="121" s="1"/>
  <c r="Z21" i="121" s="1"/>
  <c r="P26" i="139"/>
  <c r="P30" i="139" s="1"/>
  <c r="V15" i="109"/>
  <c r="X23" i="121" s="1"/>
  <c r="R26" i="139"/>
  <c r="R30" i="139" s="1"/>
  <c r="R15" i="109"/>
  <c r="X19" i="121" s="1"/>
  <c r="Y19" i="121" s="1"/>
  <c r="N26" i="139"/>
  <c r="N30" i="139" s="1"/>
  <c r="N15" i="109"/>
  <c r="X15" i="121" s="1"/>
  <c r="Y15" i="121" s="1"/>
  <c r="J26" i="139"/>
  <c r="J30" i="139" s="1"/>
  <c r="AB15" i="109"/>
  <c r="X29" i="121" s="1"/>
  <c r="X26" i="139"/>
  <c r="X30" i="139" s="1"/>
  <c r="K15" i="109"/>
  <c r="X12" i="121" s="1"/>
  <c r="Z12" i="121" s="1"/>
  <c r="G26" i="139"/>
  <c r="G30" i="139" s="1"/>
  <c r="Z19" i="121"/>
  <c r="G11" i="120"/>
  <c r="U32" i="109"/>
  <c r="H10" i="120"/>
  <c r="G10" i="120"/>
  <c r="H11" i="120"/>
  <c r="L10" i="121" s="1"/>
  <c r="P34" i="109"/>
  <c r="AB32" i="109"/>
  <c r="U28" i="109"/>
  <c r="U47" i="109"/>
  <c r="M25" i="120"/>
  <c r="V27" i="109"/>
  <c r="V46" i="109"/>
  <c r="M32" i="109"/>
  <c r="S32" i="109"/>
  <c r="J34" i="109"/>
  <c r="P32" i="109"/>
  <c r="N51" i="109"/>
  <c r="L53" i="109"/>
  <c r="T51" i="109"/>
  <c r="R32" i="109"/>
  <c r="L32" i="109"/>
  <c r="O51" i="109"/>
  <c r="Q34" i="109"/>
  <c r="J51" i="109"/>
  <c r="Q32" i="109"/>
  <c r="H23" i="120"/>
  <c r="G28" i="120"/>
  <c r="H20" i="120"/>
  <c r="L19" i="121" s="1"/>
  <c r="G25" i="120"/>
  <c r="H21" i="120"/>
  <c r="H14" i="120"/>
  <c r="L13" i="121" s="1"/>
  <c r="H12" i="120"/>
  <c r="L11" i="121" s="1"/>
  <c r="G29" i="120"/>
  <c r="G22" i="120"/>
  <c r="G18" i="120"/>
  <c r="H19" i="120"/>
  <c r="L18" i="121" s="1"/>
  <c r="G20" i="120"/>
  <c r="G23" i="120"/>
  <c r="K23" i="120"/>
  <c r="G16" i="120"/>
  <c r="H22" i="120"/>
  <c r="L21" i="121" s="1"/>
  <c r="H16" i="120"/>
  <c r="L15" i="121" s="1"/>
  <c r="H17" i="120"/>
  <c r="G17" i="120"/>
  <c r="H15" i="120"/>
  <c r="L14" i="121" s="1"/>
  <c r="H18" i="120"/>
  <c r="L17" i="121" s="1"/>
  <c r="G19" i="120"/>
  <c r="G30" i="120"/>
  <c r="K21" i="120"/>
  <c r="G26" i="120"/>
  <c r="G12" i="120"/>
  <c r="H30" i="120"/>
  <c r="L29" i="121" s="1"/>
  <c r="G24" i="120"/>
  <c r="G15" i="120"/>
  <c r="H24" i="120"/>
  <c r="G27" i="120"/>
  <c r="I13" i="120"/>
  <c r="G21" i="120"/>
  <c r="G14" i="120"/>
  <c r="X9" i="121" l="1"/>
  <c r="Y9" i="121" s="1"/>
  <c r="C15" i="109"/>
  <c r="Z15" i="121"/>
  <c r="M53" i="109"/>
  <c r="R53" i="109"/>
  <c r="M34" i="109"/>
  <c r="Y12" i="121"/>
  <c r="K53" i="109"/>
  <c r="N34" i="109"/>
  <c r="K34" i="109"/>
  <c r="N53" i="109"/>
  <c r="Y14" i="121"/>
  <c r="Y21" i="121"/>
  <c r="H34" i="109"/>
  <c r="Y16" i="121"/>
  <c r="Z16" i="121"/>
  <c r="H53" i="109"/>
  <c r="R34" i="109"/>
  <c r="T34" i="109"/>
  <c r="AB34" i="109"/>
  <c r="O53" i="109"/>
  <c r="AB53" i="109"/>
  <c r="O34" i="109"/>
  <c r="J10" i="120"/>
  <c r="J11" i="120"/>
  <c r="F20" i="121"/>
  <c r="E20" i="121"/>
  <c r="N14" i="121"/>
  <c r="M14" i="121"/>
  <c r="N15" i="121"/>
  <c r="M15" i="121"/>
  <c r="N13" i="121"/>
  <c r="M13" i="121"/>
  <c r="F24" i="121"/>
  <c r="E24" i="121"/>
  <c r="N10" i="120"/>
  <c r="F16" i="121"/>
  <c r="E16" i="121"/>
  <c r="N18" i="121"/>
  <c r="M18" i="121"/>
  <c r="N19" i="121"/>
  <c r="M19" i="121"/>
  <c r="N21" i="121"/>
  <c r="M21" i="121"/>
  <c r="Z22" i="121"/>
  <c r="Y22" i="121"/>
  <c r="F28" i="121"/>
  <c r="E28" i="121"/>
  <c r="L20" i="121"/>
  <c r="U51" i="109"/>
  <c r="I23" i="120"/>
  <c r="L22" i="121" s="1"/>
  <c r="N29" i="121"/>
  <c r="M29" i="121"/>
  <c r="N17" i="121"/>
  <c r="M17" i="121"/>
  <c r="L16" i="121"/>
  <c r="N11" i="121"/>
  <c r="M11" i="121"/>
  <c r="N10" i="121"/>
  <c r="M10" i="121"/>
  <c r="I49" i="109"/>
  <c r="I30" i="109"/>
  <c r="I50" i="109"/>
  <c r="I31" i="109"/>
  <c r="H31" i="109"/>
  <c r="H50" i="109"/>
  <c r="H30" i="109"/>
  <c r="H49" i="109"/>
  <c r="V28" i="109"/>
  <c r="V47" i="109"/>
  <c r="W46" i="109"/>
  <c r="W27" i="109"/>
  <c r="T53" i="109"/>
  <c r="M31" i="109"/>
  <c r="L50" i="109"/>
  <c r="P31" i="109"/>
  <c r="O31" i="109"/>
  <c r="J31" i="109"/>
  <c r="R31" i="109"/>
  <c r="T50" i="109"/>
  <c r="S53" i="109"/>
  <c r="Q50" i="109"/>
  <c r="U31" i="109"/>
  <c r="AB31" i="109"/>
  <c r="N31" i="109"/>
  <c r="V50" i="109"/>
  <c r="U34" i="109"/>
  <c r="S50" i="109"/>
  <c r="K32" i="109"/>
  <c r="T49" i="109"/>
  <c r="L30" i="109"/>
  <c r="Y49" i="109"/>
  <c r="J30" i="109"/>
  <c r="O30" i="109"/>
  <c r="N30" i="109"/>
  <c r="V30" i="109"/>
  <c r="X30" i="109"/>
  <c r="AB30" i="109"/>
  <c r="Q30" i="109"/>
  <c r="U49" i="109"/>
  <c r="R30" i="109"/>
  <c r="P49" i="109"/>
  <c r="AA30" i="109"/>
  <c r="W49" i="109"/>
  <c r="M30" i="109"/>
  <c r="Z49" i="109"/>
  <c r="J25" i="120"/>
  <c r="J17" i="120"/>
  <c r="I25" i="120"/>
  <c r="J24" i="120"/>
  <c r="H13" i="120"/>
  <c r="G13" i="120"/>
  <c r="Z9" i="121" l="1"/>
  <c r="H16" i="109"/>
  <c r="H52" i="109"/>
  <c r="H33" i="109"/>
  <c r="I16" i="109"/>
  <c r="I52" i="109"/>
  <c r="I54" i="109" s="1"/>
  <c r="I60" i="109" s="1"/>
  <c r="I33" i="109"/>
  <c r="I35" i="109" s="1"/>
  <c r="I41" i="109" s="1"/>
  <c r="N11" i="120"/>
  <c r="R11" i="120" s="1"/>
  <c r="O16" i="109"/>
  <c r="AL16" i="121" s="1"/>
  <c r="N17" i="120"/>
  <c r="R17" i="120" s="1"/>
  <c r="M16" i="109"/>
  <c r="AL14" i="121" s="1"/>
  <c r="J15" i="120"/>
  <c r="Q16" i="109"/>
  <c r="J19" i="120"/>
  <c r="T16" i="109"/>
  <c r="AL21" i="121" s="1"/>
  <c r="J22" i="120"/>
  <c r="L9" i="121"/>
  <c r="N22" i="121"/>
  <c r="M22" i="121"/>
  <c r="E10" i="121"/>
  <c r="F10" i="121"/>
  <c r="R10" i="120"/>
  <c r="Z20" i="121"/>
  <c r="Y20" i="121"/>
  <c r="P16" i="109"/>
  <c r="J18" i="120"/>
  <c r="AB16" i="109"/>
  <c r="AL29" i="121" s="1"/>
  <c r="J30" i="120"/>
  <c r="N16" i="121"/>
  <c r="M16" i="121"/>
  <c r="E29" i="121"/>
  <c r="F29" i="121"/>
  <c r="E14" i="121"/>
  <c r="F14" i="121"/>
  <c r="E18" i="121"/>
  <c r="F18" i="121"/>
  <c r="E22" i="121"/>
  <c r="F22" i="121"/>
  <c r="F23" i="121"/>
  <c r="E23" i="121"/>
  <c r="E21" i="121"/>
  <c r="F21" i="121"/>
  <c r="F11" i="121"/>
  <c r="E11" i="121"/>
  <c r="F12" i="121"/>
  <c r="E12" i="121"/>
  <c r="U16" i="109"/>
  <c r="AL22" i="121" s="1"/>
  <c r="J23" i="120"/>
  <c r="L12" i="121"/>
  <c r="G31" i="120"/>
  <c r="N16" i="109"/>
  <c r="AL15" i="121" s="1"/>
  <c r="J16" i="120"/>
  <c r="R16" i="109"/>
  <c r="AL19" i="121" s="1"/>
  <c r="J20" i="120"/>
  <c r="F27" i="121"/>
  <c r="E27" i="121"/>
  <c r="F19" i="121"/>
  <c r="E19" i="121"/>
  <c r="E13" i="121"/>
  <c r="F13" i="121"/>
  <c r="N20" i="121"/>
  <c r="M20" i="121"/>
  <c r="E17" i="121"/>
  <c r="F17" i="121"/>
  <c r="F15" i="121"/>
  <c r="E15" i="121"/>
  <c r="E25" i="121"/>
  <c r="F25" i="121"/>
  <c r="E26" i="121"/>
  <c r="F26" i="121"/>
  <c r="E9" i="121"/>
  <c r="F9" i="121"/>
  <c r="D30" i="121"/>
  <c r="J26" i="120"/>
  <c r="M26" i="120"/>
  <c r="Q49" i="109"/>
  <c r="X46" i="109"/>
  <c r="X27" i="109"/>
  <c r="P50" i="109"/>
  <c r="T31" i="109"/>
  <c r="W47" i="109"/>
  <c r="W28" i="109"/>
  <c r="S31" i="109"/>
  <c r="M27" i="120"/>
  <c r="Q31" i="109"/>
  <c r="V31" i="109"/>
  <c r="J50" i="109"/>
  <c r="AB50" i="109"/>
  <c r="M50" i="109"/>
  <c r="O49" i="109"/>
  <c r="Y30" i="109"/>
  <c r="U53" i="109"/>
  <c r="L31" i="109"/>
  <c r="O50" i="109"/>
  <c r="Z30" i="109"/>
  <c r="U50" i="109"/>
  <c r="N50" i="109"/>
  <c r="S34" i="109"/>
  <c r="K50" i="109"/>
  <c r="R50" i="109"/>
  <c r="P30" i="109"/>
  <c r="AB49" i="109"/>
  <c r="N52" i="109"/>
  <c r="M52" i="109"/>
  <c r="U33" i="109"/>
  <c r="T52" i="109"/>
  <c r="T54" i="109" s="1"/>
  <c r="T60" i="109" s="1"/>
  <c r="R52" i="109"/>
  <c r="V33" i="109"/>
  <c r="AB33" i="109"/>
  <c r="AB35" i="109" s="1"/>
  <c r="AB41" i="109" s="1"/>
  <c r="W52" i="109"/>
  <c r="K51" i="109"/>
  <c r="W51" i="109"/>
  <c r="U30" i="109"/>
  <c r="AA49" i="109"/>
  <c r="M49" i="109"/>
  <c r="T30" i="109"/>
  <c r="V49" i="109"/>
  <c r="R49" i="109"/>
  <c r="X49" i="109"/>
  <c r="S30" i="109"/>
  <c r="J49" i="109"/>
  <c r="W30" i="109"/>
  <c r="L49" i="109"/>
  <c r="N49" i="109"/>
  <c r="S49" i="109"/>
  <c r="K25" i="120"/>
  <c r="K24" i="120"/>
  <c r="H35" i="109" l="1"/>
  <c r="H54" i="109"/>
  <c r="I22" i="109"/>
  <c r="AL10" i="121"/>
  <c r="AN10" i="121" s="1"/>
  <c r="AP10" i="121" s="1"/>
  <c r="P22" i="109"/>
  <c r="AL17" i="121"/>
  <c r="Q22" i="109"/>
  <c r="AL18" i="121"/>
  <c r="H22" i="109"/>
  <c r="AL9" i="121"/>
  <c r="AN9" i="121" s="1"/>
  <c r="N23" i="120"/>
  <c r="AN16" i="121"/>
  <c r="AO16" i="121" s="1"/>
  <c r="L16" i="109"/>
  <c r="AL13" i="121" s="1"/>
  <c r="J14" i="120"/>
  <c r="N20" i="120"/>
  <c r="N18" i="120"/>
  <c r="V16" i="109"/>
  <c r="AL23" i="121" s="1"/>
  <c r="I24" i="120"/>
  <c r="W16" i="109"/>
  <c r="AL24" i="121" s="1"/>
  <c r="H25" i="120"/>
  <c r="F30" i="121"/>
  <c r="N12" i="121"/>
  <c r="M12" i="121"/>
  <c r="N19" i="120"/>
  <c r="J16" i="109"/>
  <c r="AL11" i="121" s="1"/>
  <c r="J12" i="120"/>
  <c r="E30" i="121"/>
  <c r="N16" i="120"/>
  <c r="R23" i="120"/>
  <c r="N30" i="120"/>
  <c r="S16" i="109"/>
  <c r="J21" i="120"/>
  <c r="Z24" i="121"/>
  <c r="Y24" i="121"/>
  <c r="N9" i="121"/>
  <c r="AN8" i="121" s="1"/>
  <c r="M9" i="121"/>
  <c r="N22" i="120"/>
  <c r="N15" i="120"/>
  <c r="X52" i="109"/>
  <c r="M33" i="109"/>
  <c r="M35" i="109" s="1"/>
  <c r="M41" i="109" s="1"/>
  <c r="M28" i="120"/>
  <c r="Y27" i="109"/>
  <c r="Y46" i="109"/>
  <c r="X28" i="109"/>
  <c r="X47" i="109"/>
  <c r="W32" i="109"/>
  <c r="M54" i="109"/>
  <c r="M60" i="109" s="1"/>
  <c r="AB52" i="109"/>
  <c r="AB54" i="109" s="1"/>
  <c r="AB60" i="109" s="1"/>
  <c r="U35" i="109"/>
  <c r="U41" i="109" s="1"/>
  <c r="K31" i="109"/>
  <c r="W53" i="109"/>
  <c r="T22" i="109"/>
  <c r="W50" i="109"/>
  <c r="V53" i="109"/>
  <c r="V52" i="109"/>
  <c r="Q52" i="109"/>
  <c r="Q54" i="109" s="1"/>
  <c r="Q60" i="109" s="1"/>
  <c r="P52" i="109"/>
  <c r="P54" i="109" s="1"/>
  <c r="P60" i="109" s="1"/>
  <c r="N22" i="109"/>
  <c r="Q33" i="109"/>
  <c r="Q35" i="109" s="1"/>
  <c r="Q41" i="109" s="1"/>
  <c r="P33" i="109"/>
  <c r="P35" i="109" s="1"/>
  <c r="P41" i="109" s="1"/>
  <c r="AB22" i="109"/>
  <c r="N33" i="109"/>
  <c r="N35" i="109" s="1"/>
  <c r="N41" i="109" s="1"/>
  <c r="T33" i="109"/>
  <c r="T35" i="109" s="1"/>
  <c r="T41" i="109" s="1"/>
  <c r="W33" i="109"/>
  <c r="R33" i="109"/>
  <c r="R35" i="109" s="1"/>
  <c r="R41" i="109" s="1"/>
  <c r="R54" i="109"/>
  <c r="R60" i="109" s="1"/>
  <c r="R22" i="109"/>
  <c r="L33" i="109"/>
  <c r="L35" i="109" s="1"/>
  <c r="L41" i="109" s="1"/>
  <c r="O52" i="109"/>
  <c r="O54" i="109" s="1"/>
  <c r="O60" i="109" s="1"/>
  <c r="O33" i="109"/>
  <c r="O35" i="109" s="1"/>
  <c r="O41" i="109" s="1"/>
  <c r="U22" i="109"/>
  <c r="U52" i="109"/>
  <c r="U54" i="109" s="1"/>
  <c r="U60" i="109" s="1"/>
  <c r="M22" i="109"/>
  <c r="J33" i="109"/>
  <c r="O22" i="109"/>
  <c r="N54" i="109"/>
  <c r="N60" i="109" s="1"/>
  <c r="I26" i="120"/>
  <c r="K49" i="109"/>
  <c r="C49" i="109" s="1"/>
  <c r="K30" i="109"/>
  <c r="C30" i="109" s="1"/>
  <c r="H27" i="120"/>
  <c r="K26" i="120"/>
  <c r="H60" i="109" l="1"/>
  <c r="H41" i="109"/>
  <c r="S22" i="109"/>
  <c r="AL20" i="121"/>
  <c r="AO8" i="121"/>
  <c r="AP8" i="121"/>
  <c r="AO10" i="121"/>
  <c r="AP16" i="121"/>
  <c r="R15" i="120"/>
  <c r="AN14" i="121"/>
  <c r="R30" i="120"/>
  <c r="R16" i="120"/>
  <c r="AN15" i="121"/>
  <c r="N12" i="120"/>
  <c r="N25" i="120"/>
  <c r="N24" i="120"/>
  <c r="Z25" i="121"/>
  <c r="Y25" i="121"/>
  <c r="R20" i="120"/>
  <c r="AN19" i="121"/>
  <c r="R22" i="120"/>
  <c r="AN21" i="121"/>
  <c r="R19" i="120"/>
  <c r="AN18" i="121"/>
  <c r="K16" i="109"/>
  <c r="J13" i="120"/>
  <c r="N21" i="120"/>
  <c r="AO9" i="121"/>
  <c r="AP9" i="121"/>
  <c r="Z23" i="121"/>
  <c r="Y23" i="121"/>
  <c r="R18" i="120"/>
  <c r="AN17" i="121"/>
  <c r="N14" i="120"/>
  <c r="V22" i="109"/>
  <c r="S33" i="109"/>
  <c r="S35" i="109" s="1"/>
  <c r="S41" i="109" s="1"/>
  <c r="X33" i="109"/>
  <c r="Y47" i="109"/>
  <c r="Y28" i="109"/>
  <c r="AA46" i="109"/>
  <c r="AA27" i="109"/>
  <c r="Z27" i="109"/>
  <c r="Z46" i="109"/>
  <c r="M29" i="120"/>
  <c r="V34" i="109"/>
  <c r="V51" i="109"/>
  <c r="V32" i="109"/>
  <c r="W34" i="109"/>
  <c r="W22" i="109"/>
  <c r="W31" i="109"/>
  <c r="X34" i="109"/>
  <c r="Y50" i="109"/>
  <c r="W54" i="109"/>
  <c r="W60" i="109" s="1"/>
  <c r="L22" i="109"/>
  <c r="J22" i="109"/>
  <c r="J52" i="109"/>
  <c r="L52" i="109"/>
  <c r="L54" i="109" s="1"/>
  <c r="L60" i="109" s="1"/>
  <c r="S52" i="109"/>
  <c r="S54" i="109" s="1"/>
  <c r="S60" i="109" s="1"/>
  <c r="X51" i="109"/>
  <c r="J35" i="109"/>
  <c r="J41" i="109" s="1"/>
  <c r="K27" i="120"/>
  <c r="J28" i="120"/>
  <c r="V54" i="109" l="1"/>
  <c r="V60" i="109" s="1"/>
  <c r="J54" i="109"/>
  <c r="K22" i="109"/>
  <c r="AL12" i="121"/>
  <c r="M31" i="120"/>
  <c r="AP18" i="121"/>
  <c r="AO18" i="121"/>
  <c r="L23" i="121"/>
  <c r="R12" i="120"/>
  <c r="X16" i="109"/>
  <c r="AL25" i="121" s="1"/>
  <c r="H26" i="120"/>
  <c r="AP17" i="121"/>
  <c r="AO17" i="121"/>
  <c r="AP21" i="121"/>
  <c r="AO21" i="121"/>
  <c r="Z26" i="121"/>
  <c r="Y26" i="121"/>
  <c r="L24" i="121"/>
  <c r="R14" i="120"/>
  <c r="AN13" i="121"/>
  <c r="R21" i="120"/>
  <c r="AN20" i="121"/>
  <c r="N13" i="120"/>
  <c r="AO19" i="121"/>
  <c r="AP19" i="121"/>
  <c r="R24" i="120"/>
  <c r="R25" i="120"/>
  <c r="AO15" i="121"/>
  <c r="AP15" i="121"/>
  <c r="AP14" i="121"/>
  <c r="AO14" i="121"/>
  <c r="AA28" i="109"/>
  <c r="AA47" i="109"/>
  <c r="Y31" i="109"/>
  <c r="Z47" i="109"/>
  <c r="Z28" i="109"/>
  <c r="V35" i="109"/>
  <c r="V41" i="109" s="1"/>
  <c r="K52" i="109"/>
  <c r="K54" i="109" s="1"/>
  <c r="K60" i="109" s="1"/>
  <c r="X53" i="109"/>
  <c r="W35" i="109"/>
  <c r="W41" i="109" s="1"/>
  <c r="Y53" i="109"/>
  <c r="K33" i="109"/>
  <c r="Z52" i="109"/>
  <c r="X32" i="109"/>
  <c r="K28" i="120"/>
  <c r="J27" i="120"/>
  <c r="I28" i="120"/>
  <c r="I27" i="120"/>
  <c r="C47" i="109" l="1"/>
  <c r="C28" i="109"/>
  <c r="K35" i="109"/>
  <c r="J60" i="109"/>
  <c r="L26" i="121"/>
  <c r="N27" i="120"/>
  <c r="N24" i="121"/>
  <c r="AN23" i="121" s="1"/>
  <c r="AO23" i="121" s="1"/>
  <c r="M24" i="121"/>
  <c r="R13" i="120"/>
  <c r="AN12" i="121"/>
  <c r="N23" i="121"/>
  <c r="AN22" i="121" s="1"/>
  <c r="M23" i="121"/>
  <c r="AP13" i="121"/>
  <c r="AO13" i="121"/>
  <c r="AN11" i="121"/>
  <c r="Z27" i="121"/>
  <c r="Y27" i="121"/>
  <c r="AP20" i="121"/>
  <c r="AO20" i="121"/>
  <c r="N26" i="120"/>
  <c r="Y16" i="109"/>
  <c r="Y34" i="109"/>
  <c r="X50" i="109"/>
  <c r="X31" i="109"/>
  <c r="Z34" i="109"/>
  <c r="Z33" i="109"/>
  <c r="Y33" i="109"/>
  <c r="Z32" i="109"/>
  <c r="X22" i="109"/>
  <c r="H29" i="120"/>
  <c r="X35" i="109" l="1"/>
  <c r="X41" i="109" s="1"/>
  <c r="X54" i="109"/>
  <c r="K41" i="109"/>
  <c r="Y22" i="109"/>
  <c r="AL26" i="121"/>
  <c r="AP22" i="121"/>
  <c r="AO22" i="121"/>
  <c r="AP23" i="121"/>
  <c r="Z16" i="109"/>
  <c r="AL27" i="121" s="1"/>
  <c r="H28" i="120"/>
  <c r="N26" i="121"/>
  <c r="M26" i="121"/>
  <c r="R26" i="120"/>
  <c r="AO11" i="121"/>
  <c r="AP11" i="121"/>
  <c r="L25" i="121"/>
  <c r="AP12" i="121"/>
  <c r="AO12" i="121"/>
  <c r="R27" i="120"/>
  <c r="Z53" i="109"/>
  <c r="Y51" i="109"/>
  <c r="AA31" i="109"/>
  <c r="Y52" i="109"/>
  <c r="Z51" i="109"/>
  <c r="Y32" i="109"/>
  <c r="Y35" i="109" s="1"/>
  <c r="Y41" i="109" s="1"/>
  <c r="X60" i="109"/>
  <c r="I29" i="120"/>
  <c r="J29" i="120"/>
  <c r="C31" i="109" l="1"/>
  <c r="N25" i="121"/>
  <c r="AN24" i="121" s="1"/>
  <c r="M25" i="121"/>
  <c r="J31" i="120"/>
  <c r="N28" i="120"/>
  <c r="H31" i="120"/>
  <c r="K30" i="121"/>
  <c r="I31" i="120"/>
  <c r="AN25" i="121"/>
  <c r="AA50" i="109"/>
  <c r="C50" i="109" s="1"/>
  <c r="Y54" i="109"/>
  <c r="Z31" i="109"/>
  <c r="Z35" i="109" s="1"/>
  <c r="Z50" i="109"/>
  <c r="Z54" i="109" s="1"/>
  <c r="Y60" i="109" l="1"/>
  <c r="Y29" i="121"/>
  <c r="Z29" i="121"/>
  <c r="AP24" i="121"/>
  <c r="AO24" i="121"/>
  <c r="L28" i="121"/>
  <c r="AA16" i="109"/>
  <c r="C16" i="109" s="1"/>
  <c r="K29" i="120"/>
  <c r="AO25" i="121"/>
  <c r="AP25" i="121"/>
  <c r="R28" i="120"/>
  <c r="L27" i="121"/>
  <c r="J30" i="121"/>
  <c r="Z60" i="109"/>
  <c r="AA32" i="109"/>
  <c r="C32" i="109" s="1"/>
  <c r="AA51" i="109"/>
  <c r="C51" i="109" s="1"/>
  <c r="Z41" i="109"/>
  <c r="AA52" i="109"/>
  <c r="C52" i="109" s="1"/>
  <c r="AA33" i="109"/>
  <c r="C33" i="109" s="1"/>
  <c r="Z22" i="109"/>
  <c r="AL28" i="121" l="1"/>
  <c r="T30" i="121"/>
  <c r="S30" i="121"/>
  <c r="R30" i="121"/>
  <c r="N28" i="121"/>
  <c r="AN27" i="121" s="1"/>
  <c r="M28" i="121"/>
  <c r="N27" i="121"/>
  <c r="AN26" i="121" s="1"/>
  <c r="M27" i="121"/>
  <c r="L30" i="121"/>
  <c r="K31" i="120"/>
  <c r="N29" i="120"/>
  <c r="AA53" i="109"/>
  <c r="C53" i="109" s="1"/>
  <c r="AA34" i="109"/>
  <c r="C34" i="109" s="1"/>
  <c r="AP26" i="121" l="1"/>
  <c r="AO26" i="121"/>
  <c r="R29" i="120"/>
  <c r="N31" i="120"/>
  <c r="AO27" i="121"/>
  <c r="AP27" i="121"/>
  <c r="M30" i="121"/>
  <c r="Y28" i="121"/>
  <c r="Y30" i="121" s="1"/>
  <c r="Z28" i="121"/>
  <c r="Z30" i="121" s="1"/>
  <c r="X30" i="121"/>
  <c r="N30" i="121"/>
  <c r="AN29" i="121" s="1"/>
  <c r="AA35" i="109"/>
  <c r="C35" i="109" s="1"/>
  <c r="AA54" i="109"/>
  <c r="AA22" i="109"/>
  <c r="C22" i="109" s="1"/>
  <c r="AA60" i="109" l="1"/>
  <c r="C60" i="109" s="1"/>
  <c r="C54" i="109"/>
  <c r="C61" i="109" s="1"/>
  <c r="AO29" i="121"/>
  <c r="AP29" i="121"/>
  <c r="AN28" i="121"/>
  <c r="AL30" i="121"/>
  <c r="AA41" i="109"/>
  <c r="C41" i="109" s="1"/>
  <c r="AP28" i="121" l="1"/>
  <c r="AO28" i="121"/>
  <c r="F20" i="109" l="1"/>
  <c r="AM7" i="121" s="1"/>
  <c r="O8" i="120" l="1"/>
  <c r="O31" i="120" s="1"/>
  <c r="F39" i="109"/>
  <c r="C23" i="109"/>
  <c r="F22" i="109"/>
  <c r="Q8" i="120"/>
  <c r="F56" i="109"/>
  <c r="F37" i="109"/>
  <c r="AD30" i="121" l="1"/>
  <c r="R8" i="120"/>
  <c r="R31" i="120" s="1"/>
  <c r="Q31" i="120"/>
  <c r="S31" i="120" s="1"/>
  <c r="AF7" i="121"/>
  <c r="F58" i="109"/>
  <c r="C42" i="109"/>
  <c r="F41" i="109"/>
  <c r="AH7" i="121" l="1"/>
  <c r="AH30" i="121" s="1"/>
  <c r="AG7" i="121"/>
  <c r="AG30" i="121" s="1"/>
  <c r="AF30" i="121"/>
  <c r="AN7" i="121"/>
  <c r="F60" i="109"/>
  <c r="AN30" i="121" l="1"/>
  <c r="AP7" i="121"/>
  <c r="AP30" i="121" s="1"/>
  <c r="AO7" i="121"/>
  <c r="AO30" i="121" s="1"/>
</calcChain>
</file>

<file path=xl/comments1.xml><?xml version="1.0" encoding="utf-8"?>
<comments xmlns="http://schemas.openxmlformats.org/spreadsheetml/2006/main">
  <authors>
    <author>Elaine Croft McKenzie</author>
  </authors>
  <commentList>
    <comment ref="B69" authorId="0" shapeId="0">
      <text>
        <r>
          <rPr>
            <b/>
            <sz val="8"/>
            <color indexed="81"/>
            <rFont val="Tahoma"/>
            <family val="2"/>
          </rPr>
          <t xml:space="preserve">Source: document Social Cost of Carbon for Regulatory Impact Analysis Under Executive Order 12866 (February 2010), on page 39 in Table A-1 “Annual SCC Values 2010-2050 (in 2007 dollars)”. </t>
        </r>
      </text>
    </comment>
  </commentList>
</comments>
</file>

<file path=xl/comments2.xml><?xml version="1.0" encoding="utf-8"?>
<comments xmlns="http://schemas.openxmlformats.org/spreadsheetml/2006/main">
  <authors>
    <author>Elaine Croft McKenzie</author>
  </authors>
  <commentList>
    <comment ref="F5" authorId="0" shapeId="0">
      <text>
        <r>
          <rPr>
            <b/>
            <sz val="8"/>
            <color indexed="81"/>
            <rFont val="Tahoma"/>
            <family val="2"/>
          </rPr>
          <t xml:space="preserve">Source: documentSocial Cost of Carbon for Regulatory Impact Analysis Under Executive Order 12866 (February 2010), on page 39 in Table A-1 “Annual SCC Values 2010-2050 (in 2007 dollars)”. </t>
        </r>
      </text>
    </comment>
    <comment ref="H5" authorId="0" shapeId="0">
      <text>
        <r>
          <rPr>
            <b/>
            <sz val="8"/>
            <color indexed="81"/>
            <rFont val="Tahoma"/>
            <family val="2"/>
          </rPr>
          <t xml:space="preserve">Source: documentSocial Cost of Carbon for Regulatory Impact Analysis Under Executive Order 12866 (February 2010), on page 39 in Table A-1 “Annual SCC Values 2010-2050 (in 2007 dollars)”. </t>
        </r>
      </text>
    </comment>
  </commentList>
</comments>
</file>

<file path=xl/comments3.xml><?xml version="1.0" encoding="utf-8"?>
<comments xmlns="http://schemas.openxmlformats.org/spreadsheetml/2006/main">
  <authors>
    <author>Elaine Croft McKenzie</author>
  </authors>
  <commentList>
    <comment ref="J4" authorId="0" shapeId="0">
      <text>
        <r>
          <rPr>
            <b/>
            <sz val="8"/>
            <color indexed="81"/>
            <rFont val="Tahoma"/>
            <family val="2"/>
          </rPr>
          <t>Elaine Croft McKenzie:</t>
        </r>
        <r>
          <rPr>
            <sz val="8"/>
            <color indexed="81"/>
            <rFont val="Tahoma"/>
            <family val="2"/>
          </rPr>
          <t xml:space="preserve">
NHTSA, 2011 - from Tiger IV BCA guidance, Table 4, which converts from a single "# of accidents" statistic to the AIS scale</t>
        </r>
      </text>
    </comment>
  </commentList>
</comments>
</file>

<file path=xl/sharedStrings.xml><?xml version="1.0" encoding="utf-8"?>
<sst xmlns="http://schemas.openxmlformats.org/spreadsheetml/2006/main" count="2717" uniqueCount="686">
  <si>
    <t>AM</t>
  </si>
  <si>
    <t>PM</t>
  </si>
  <si>
    <t>Auto.Commute</t>
  </si>
  <si>
    <t>Auto.Business</t>
  </si>
  <si>
    <t>Truck</t>
  </si>
  <si>
    <t>Description</t>
  </si>
  <si>
    <t>Average</t>
  </si>
  <si>
    <t>Opperating Cost</t>
  </si>
  <si>
    <t>Small Sedan</t>
  </si>
  <si>
    <t>Medium Sedan</t>
  </si>
  <si>
    <t>Large Sedan</t>
  </si>
  <si>
    <t>Gas</t>
  </si>
  <si>
    <t>Maintenance</t>
  </si>
  <si>
    <t>Tires</t>
  </si>
  <si>
    <t>4WD SUV</t>
  </si>
  <si>
    <t>Minivan</t>
  </si>
  <si>
    <t>Passenger Operating Costs, Cents per Mile, Nationwide 2014</t>
  </si>
  <si>
    <t>AAA, Your Driving Costs, 2015 Edition</t>
  </si>
  <si>
    <t>CAGR</t>
  </si>
  <si>
    <t>Consumer Price Index - All Urban Consumers</t>
  </si>
  <si>
    <t>Original Data Value</t>
  </si>
  <si>
    <t>Series Id:</t>
  </si>
  <si>
    <t>CUUR0300SA0,CUUS0300SA0</t>
  </si>
  <si>
    <t>Not Seasonally Adjusted</t>
  </si>
  <si>
    <t>Area:</t>
  </si>
  <si>
    <t>South urban</t>
  </si>
  <si>
    <t>Item:</t>
  </si>
  <si>
    <t>All items</t>
  </si>
  <si>
    <t>Base Period:</t>
  </si>
  <si>
    <t>1982-84=100</t>
  </si>
  <si>
    <t>Years:</t>
  </si>
  <si>
    <t>1990 to 2015</t>
  </si>
  <si>
    <t>Year</t>
  </si>
  <si>
    <t>Annual</t>
  </si>
  <si>
    <t>http://data.bls.gov/pdq/SurveyOutputServlet</t>
  </si>
  <si>
    <t>CAGR the last 10 years =</t>
  </si>
  <si>
    <t>Auto.Leasure</t>
  </si>
  <si>
    <t>Adjustment by Purpose</t>
  </si>
  <si>
    <t>An Analysis of the Operational Costs of Trucking: 2015 Update (ATRI, September 2015)</t>
  </si>
  <si>
    <t>Operating Cost</t>
  </si>
  <si>
    <t>Fuel Costs</t>
  </si>
  <si>
    <t>Truck/Trailer Lease or Purchase Payments</t>
  </si>
  <si>
    <t>Repair &amp; Maintenance</t>
  </si>
  <si>
    <t>Truck Insurance Premiums</t>
  </si>
  <si>
    <t>Permits and Licenses</t>
  </si>
  <si>
    <t>Tolls</t>
  </si>
  <si>
    <t>Total Less Fuel</t>
  </si>
  <si>
    <t>CAGR, 2008-2014</t>
  </si>
  <si>
    <t>https://www.eia.gov/dnav/pet/PET_PRI_GND_DCUS_NUS_W.htm</t>
  </si>
  <si>
    <t>US Energy Information Administration</t>
  </si>
  <si>
    <t>Date Range</t>
  </si>
  <si>
    <t>95 to 15</t>
  </si>
  <si>
    <t>2K to 15</t>
  </si>
  <si>
    <t>05 to 15</t>
  </si>
  <si>
    <t>95 to 14</t>
  </si>
  <si>
    <t>2K to 14</t>
  </si>
  <si>
    <t>05 to 14</t>
  </si>
  <si>
    <t>Used</t>
  </si>
  <si>
    <t>Vehicle Operating Costs for Commercial Vehicles ($/Hour) Nationwide, 2008-2014</t>
  </si>
  <si>
    <t>By Abbreviated Injury Scale (AIS) Severity</t>
  </si>
  <si>
    <t xml:space="preserve">Severity </t>
  </si>
  <si>
    <t>Fraction of VSL</t>
  </si>
  <si>
    <t>AIS 1</t>
  </si>
  <si>
    <t>Minor</t>
  </si>
  <si>
    <t>AIS 2</t>
  </si>
  <si>
    <t>Moderate</t>
  </si>
  <si>
    <t>AIS 3</t>
  </si>
  <si>
    <t>Serious</t>
  </si>
  <si>
    <t>AIS 4</t>
  </si>
  <si>
    <t>Severe</t>
  </si>
  <si>
    <t>AIS 5</t>
  </si>
  <si>
    <t>Critical</t>
  </si>
  <si>
    <t>AIS 6</t>
  </si>
  <si>
    <t>Fatal</t>
  </si>
  <si>
    <t>Property Damage Only (PDO) Crashes</t>
  </si>
  <si>
    <t>Fatal Crashes</t>
  </si>
  <si>
    <t>Excerpt from Table 1: Recommended Monetized Values and Table 4: KABCO/Unknown - AIS Data Conversion Matrix</t>
  </si>
  <si>
    <t>AIS Level</t>
  </si>
  <si>
    <t>Severity</t>
  </si>
  <si>
    <t>O (No Injury)</t>
  </si>
  <si>
    <t>U (Injured, Severity Unknown)</t>
  </si>
  <si>
    <t># of Non Fatal Accidents (Unknown if Injured)</t>
  </si>
  <si>
    <t>No Injury</t>
  </si>
  <si>
    <t>Source: National Highway Traffic Safety Administration</t>
  </si>
  <si>
    <t>Unsurviable</t>
  </si>
  <si>
    <t>Calculated Value of Crash (No Injury)</t>
  </si>
  <si>
    <t>Calculated Value of Crash (Injury)</t>
  </si>
  <si>
    <t>Calculated Value of Crash (Unknown if Injury)</t>
  </si>
  <si>
    <t>Calculated Value of Crash (Fatality)</t>
  </si>
  <si>
    <t>Average Value of Property Damange Crash</t>
  </si>
  <si>
    <t>Injury Crashes</t>
  </si>
  <si>
    <t>Passenger Cars</t>
  </si>
  <si>
    <t>Light Truck</t>
  </si>
  <si>
    <t>Total</t>
  </si>
  <si>
    <t>Non-Gasoline Costs</t>
  </si>
  <si>
    <t>Auto</t>
  </si>
  <si>
    <t>U.S. All Grades All Formulations Retail Gasoline Prices (Dollars per Gallon)</t>
  </si>
  <si>
    <t>Value of Emissions</t>
  </si>
  <si>
    <t>Emission Type</t>
  </si>
  <si>
    <t>$ / metric ton (MT) ($2013)</t>
  </si>
  <si>
    <t>Carbon dioxide (CO2)</t>
  </si>
  <si>
    <t>(varies)*</t>
  </si>
  <si>
    <t>Volatile Organic Compounds (VOCs)</t>
  </si>
  <si>
    <t>Nitrogen oxides (NOx)</t>
  </si>
  <si>
    <t>Particulate matter (PM)</t>
  </si>
  <si>
    <t>Source: Corporate Average Fuel Economy for MY 2017 - MY 2025 Passenger Cars and Light Trucks (August 2012), page 922, Table VIII-16, "Economic Values used for Benefits Computations (2010 Dollars)"</t>
  </si>
  <si>
    <t>http://www.nhtsa.gov/staticfiles/rulemaking/pdf/cafe/FRIA_2017-2025.pdf</t>
  </si>
  <si>
    <t>CO2 per Gallon of Gasoline</t>
  </si>
  <si>
    <t>grams CO2/Gallon</t>
  </si>
  <si>
    <t>CO2 per Gallon of Diesel</t>
  </si>
  <si>
    <t>EPA, Office of Transportation and Air Quality, "Greenhouse Gas Emissions from a Typical Passenger Vehicle", May 2014</t>
  </si>
  <si>
    <t>Pollutant/Fuel</t>
  </si>
  <si>
    <t>Emissions &amp; Fuel Consumption Rates per Mile Driven</t>
  </si>
  <si>
    <t>Light Trucks</t>
  </si>
  <si>
    <t>VOC</t>
  </si>
  <si>
    <t>THC</t>
  </si>
  <si>
    <t>CO</t>
  </si>
  <si>
    <t>NOX</t>
  </si>
  <si>
    <t>PM10</t>
  </si>
  <si>
    <t>PM(total)</t>
  </si>
  <si>
    <t>CO2</t>
  </si>
  <si>
    <t>Gasoline Consumption</t>
  </si>
  <si>
    <t>Emissions (grams) per Gallon</t>
  </si>
  <si>
    <t>Gallons per Mile</t>
  </si>
  <si>
    <t>EPA, Office of Transportation and Air Quality, "Average Annual Emissions and Fuel Consumption for Gasoline-Fueled Passenger Cars and Light Trucks", October 2008</t>
  </si>
  <si>
    <t>Vehicle Type</t>
  </si>
  <si>
    <t>Passenger Car</t>
  </si>
  <si>
    <t>Auto Average</t>
  </si>
  <si>
    <t>Heavy Truck</t>
  </si>
  <si>
    <t>U.S. Energy Information Administration, "Januray 2016 Monthly Energy Review</t>
  </si>
  <si>
    <t>Miles per Gallon, 2014</t>
  </si>
  <si>
    <t>Emissions (grams) per Mile</t>
  </si>
  <si>
    <t>Averages</t>
  </si>
  <si>
    <t>Pollutant</t>
  </si>
  <si>
    <t>PM2.5</t>
  </si>
  <si>
    <t>PM Total</t>
  </si>
  <si>
    <t>Heavy Trucks</t>
  </si>
  <si>
    <t>Idle Emission Rates (grams/hour)</t>
  </si>
  <si>
    <t>Light Duty Gas Vehicles</t>
  </si>
  <si>
    <t>Light Duty Gas Trucks</t>
  </si>
  <si>
    <t>Average (Auto)</t>
  </si>
  <si>
    <t>Heavy Duty Diesel Trucks</t>
  </si>
  <si>
    <t>EPA, Office of Transportation and Air Quality, "Idling Vehicle Emissions for Passenger Cars, Light-Duty Trucks, and Heavy-Duty Trucks", October 2008</t>
  </si>
  <si>
    <t>EPA, Office of Transportation and Air Quality, "Average In-Use Emissions from Heavy Dutty Trucks", October 2008</t>
  </si>
  <si>
    <t>Sulfur dioxide (SO2)</t>
  </si>
  <si>
    <t>CO2 grams per Gallon</t>
  </si>
  <si>
    <t>Gal/Hour</t>
  </si>
  <si>
    <t>Compact Sedan</t>
  </si>
  <si>
    <t>Idle Fuel Use and CO2 Emissions</t>
  </si>
  <si>
    <t>Medium Truck</t>
  </si>
  <si>
    <t>Tractor-Semitrailer</t>
  </si>
  <si>
    <t>CO2 g/Gallon</t>
  </si>
  <si>
    <t>CO2 g/hr</t>
  </si>
  <si>
    <t>Source: Department of Energy, Argon National Laboratory, "Idling Reduction Calculator", December 2014</t>
  </si>
  <si>
    <t>Calculation Factors from TIGER V BCA Resource Guide - May 22, 2013 - Calculation of Sustainability Factors and Example Calculation</t>
  </si>
  <si>
    <t>Value of CO2 Emissions (per Metric Ton)</t>
  </si>
  <si>
    <t>Model Year</t>
  </si>
  <si>
    <t>Gas Cars</t>
  </si>
  <si>
    <t>Gas Light Trucks</t>
  </si>
  <si>
    <t>Diesel Heavy Trucks</t>
  </si>
  <si>
    <t>Source: Department of Energy, Argon National Laboratory, "Updated Emissions Factors of Air Pollutants from Vehicle Operations in GREET Using MOVES", September 2013</t>
  </si>
  <si>
    <t>Avg of Gas Vehicles</t>
  </si>
  <si>
    <t>grams/hour</t>
  </si>
  <si>
    <t>Source: CRC, E55-59, See: http://www.crcao.com/, assuming 0.4 gal/hour</t>
  </si>
  <si>
    <t>Idling Emission Rate of SO2 for Trucks</t>
  </si>
  <si>
    <t>SO2 Emissions (g/mile)</t>
  </si>
  <si>
    <t>Idling Emission Rate of SO2 for Autos</t>
  </si>
  <si>
    <t>Source</t>
  </si>
  <si>
    <t>Value</t>
  </si>
  <si>
    <t>VOT Adjustment Leisure</t>
  </si>
  <si>
    <t>VOT Adjustment Commute</t>
  </si>
  <si>
    <t>VOT Adjustment Business</t>
  </si>
  <si>
    <t>VOT Adjustment Trucking</t>
  </si>
  <si>
    <t>Occupancy: Leisure, AM</t>
  </si>
  <si>
    <t>Occupancy: Leisure, PM</t>
  </si>
  <si>
    <t>Occupancy: Commute, AM</t>
  </si>
  <si>
    <t>Occupancy: Commute, PM</t>
  </si>
  <si>
    <t>Occupancy: Business, AM</t>
  </si>
  <si>
    <t>Occupancy: Business, PM</t>
  </si>
  <si>
    <t>Occupancy: Truck, AM</t>
  </si>
  <si>
    <t>Occupancy: Truck, PM</t>
  </si>
  <si>
    <t>Occupancy: Truck, NT</t>
  </si>
  <si>
    <t>Value of Time Input</t>
  </si>
  <si>
    <t>Safety Costs</t>
  </si>
  <si>
    <t>Crash Rate per 100 million VMT, Injury</t>
  </si>
  <si>
    <t>Crash Rate per 100 million VMT, Fatal</t>
  </si>
  <si>
    <t>Gasoline Cost (2015$/Gallon)</t>
  </si>
  <si>
    <t>Diesel Cost (2015$/Gallon)</t>
  </si>
  <si>
    <t>Value per Crash, Property Damage Only (2015$)</t>
  </si>
  <si>
    <t>Value per Crash, Injury (2015$)</t>
  </si>
  <si>
    <t>Value per Crash, Fatal (2015$)</t>
  </si>
  <si>
    <t>(2015$)</t>
  </si>
  <si>
    <t>Source: Guidance on Treatment of the Economic Value of a Statistical Life in US Department of Transportation Analyses (2016)</t>
  </si>
  <si>
    <t>Unit Value, in $2015</t>
  </si>
  <si>
    <t>Guidance on Treatment of the Economic Value of a Statistical Life in US Department of Transportation Analyses (2016)</t>
  </si>
  <si>
    <t>$/MT, 2015</t>
  </si>
  <si>
    <t>3% SCC Rate (2015$)</t>
  </si>
  <si>
    <t>Technical Suport Document: Technical Update of the Social Cost of Carbon for Regulatory Impact Analysis Under Executive Order 12866, 2015, page 17, Table A1</t>
  </si>
  <si>
    <t>Emissions</t>
  </si>
  <si>
    <t>Carbon dioxide (CO2) - $/Metric Ton, 2015$</t>
  </si>
  <si>
    <t>Volatile Organic Compounds (VOCs) - $/Metric Ton, 2015$</t>
  </si>
  <si>
    <t>Nitrogen oxides (NOx) - $/Metric Ton, 2015$</t>
  </si>
  <si>
    <t>Particulate matter (PM) - $/Metric Ton, 2015$</t>
  </si>
  <si>
    <t>Sulfur dioxide (SO2) - $/Metric Ton, 2015$</t>
  </si>
  <si>
    <t>2015Average</t>
  </si>
  <si>
    <t>2015 Costs</t>
  </si>
  <si>
    <t>2015 Fuel Costs</t>
  </si>
  <si>
    <t>VA 2015</t>
  </si>
  <si>
    <t>Diesel (on-Highway) All Types</t>
  </si>
  <si>
    <t>Convert From 2015 Dollars</t>
  </si>
  <si>
    <t>Convert to 2015  Dollars</t>
  </si>
  <si>
    <t>Calculation Factors from TIGER VIII BCA Resource Guide</t>
  </si>
  <si>
    <t>Comprehensive Costs of Traffic Crashes (in 2015 dollars)</t>
  </si>
  <si>
    <t>Cost per Injury (in 2015 dollars)</t>
  </si>
  <si>
    <r>
      <t xml:space="preserve">Source: U.S. D Department of Transportation Memorandum. Guidance on </t>
    </r>
    <r>
      <rPr>
        <i/>
        <sz val="11"/>
        <color theme="1"/>
        <rFont val="Calibri"/>
        <family val="2"/>
        <scheme val="minor"/>
      </rPr>
      <t>Treatment of the Economic Value of a Statistical Life (VSL) in U.S. Department of Transportation Analyses – 2015 Adjustment</t>
    </r>
    <r>
      <rPr>
        <sz val="11"/>
        <color theme="1"/>
        <rFont val="Calibri"/>
        <family val="2"/>
        <scheme val="minor"/>
      </rPr>
      <t>. June 17, 2016</t>
    </r>
  </si>
  <si>
    <t>Cost per Vehicle (in 2015 dollars)</t>
  </si>
  <si>
    <t>Source: The Economic and Societal Impact of Motor Vehicle Crashes, 2010 (Revised May 2015)</t>
  </si>
  <si>
    <t>Count of Crashes</t>
  </si>
  <si>
    <t>Crahes per 100 Million VMT</t>
  </si>
  <si>
    <t>Total Crashes</t>
  </si>
  <si>
    <t>PDO Crashes</t>
  </si>
  <si>
    <t xml:space="preserve">Note: </t>
  </si>
  <si>
    <t xml:space="preserve">In 2014, there were </t>
  </si>
  <si>
    <t>per US Department of Transportation, Federal Highway Administration, "Highway Statistics, 2014", Table VM-2</t>
  </si>
  <si>
    <t>VMT</t>
  </si>
  <si>
    <t>Leisure</t>
  </si>
  <si>
    <t>Commute</t>
  </si>
  <si>
    <t>Business</t>
  </si>
  <si>
    <t>VHT</t>
  </si>
  <si>
    <t>t</t>
  </si>
  <si>
    <t>Annual Change</t>
  </si>
  <si>
    <t>(Build) - (No-Build)</t>
  </si>
  <si>
    <t>Average Wage Rate, Truck (2015$/hour)</t>
  </si>
  <si>
    <t>Cost Benefit Analysis</t>
  </si>
  <si>
    <t>All Dollar Values are in 2015 Dollars</t>
  </si>
  <si>
    <t>Benefits</t>
  </si>
  <si>
    <t>Change in Travel Efficiency (Build - No-Build)</t>
  </si>
  <si>
    <t>Vehicle Miles Traveled</t>
  </si>
  <si>
    <t>Reduction in Non-Fuel Vehicle Operating Costs</t>
  </si>
  <si>
    <t>Reduction in Fuel Vehicle Operating Costs</t>
  </si>
  <si>
    <t>Reduction in Safety Costs</t>
  </si>
  <si>
    <t>Reduction in Emissions Costs</t>
  </si>
  <si>
    <t>Reduction in Logistics Costs</t>
  </si>
  <si>
    <t>Costs</t>
  </si>
  <si>
    <t>Reduction in Value of Time Costs</t>
  </si>
  <si>
    <t>Maintenance and Operations Costs</t>
  </si>
  <si>
    <t>Total Benefits</t>
  </si>
  <si>
    <t>Total Costs</t>
  </si>
  <si>
    <t>Net Benefits</t>
  </si>
  <si>
    <t>2017 through 2040</t>
  </si>
  <si>
    <t>SUM</t>
  </si>
  <si>
    <t>Benefit-Cost Ratio</t>
  </si>
  <si>
    <t>Benefits (No Discounting)</t>
  </si>
  <si>
    <t>Costs (No Discounting)</t>
  </si>
  <si>
    <t>Benefits vs. Costs (No Discounting)</t>
  </si>
  <si>
    <t>Cost Benefit Analysis (Discounted)</t>
  </si>
  <si>
    <t>Discount Rate:</t>
  </si>
  <si>
    <t>Change in Travel Efficiency</t>
  </si>
  <si>
    <t>Total VHT</t>
  </si>
  <si>
    <t>AM VHT</t>
  </si>
  <si>
    <t>PM VHT</t>
  </si>
  <si>
    <t>AM Delay</t>
  </si>
  <si>
    <t>PM Delay</t>
  </si>
  <si>
    <t>Total Delay</t>
  </si>
  <si>
    <t>2040 No-Build</t>
  </si>
  <si>
    <t>2040 Build</t>
  </si>
  <si>
    <t>AM VMT</t>
  </si>
  <si>
    <t>PM VMT</t>
  </si>
  <si>
    <t>Total VMT</t>
  </si>
  <si>
    <t>Peak VHT</t>
  </si>
  <si>
    <t>Peak VMT</t>
  </si>
  <si>
    <t>Free-Flow VHT (VHT-Delay)</t>
  </si>
  <si>
    <t>Free-Flow Rate (min/mile)</t>
  </si>
  <si>
    <t>Free-Flow VHT (minutes)</t>
  </si>
  <si>
    <t>Peak VHT (minutes)</t>
  </si>
  <si>
    <t>Peak Rate (min/mile)</t>
  </si>
  <si>
    <t>TTI (Peak Rate/FF Rate)</t>
  </si>
  <si>
    <t>Reduction in Repair Costs</t>
  </si>
  <si>
    <t>Vehicle Class/Highway Class</t>
  </si>
  <si>
    <t>2000 Pavement Costs ( in cents/mile)</t>
  </si>
  <si>
    <t>Autos/Rural Interstate</t>
  </si>
  <si>
    <t>Autos/Urban Interstate</t>
  </si>
  <si>
    <t>40 kip 4-axle S.U. Truck/Rural Interstate</t>
  </si>
  <si>
    <t>40 kip 4-axle S.U. Truck/Urban Interstate</t>
  </si>
  <si>
    <t>60 kip 4-axle S.U. Truck/Rural Interstate</t>
  </si>
  <si>
    <t>60 kip 4-axle S.U. Truck/Urban Interstate</t>
  </si>
  <si>
    <t>60 kip 5-axle Comb/Rural Interstate</t>
  </si>
  <si>
    <t>60 kip 5-axle Comb/Urban Interstate</t>
  </si>
  <si>
    <t>80 kip 5-axle Comb/Rural Interstate</t>
  </si>
  <si>
    <t>80 kip 5-axle Comb/Urban Interstate</t>
  </si>
  <si>
    <t>Source: Addendum to the 1997 Federal Highway Cost Allocation Study Final Report, 2000. Table 13, for 80 kip 5-axle truck, rural highway</t>
  </si>
  <si>
    <t>The marginal costs of highway use are the added costs associated with a unit increase in highway use (measured, for example, in cents per vehicle mile).These marginal costs include costs to the highway user (e.g., travel time and fuel), costs imposed on other highway users (principally crash costs and congestion), costs imposed on non-users, and costs borne by public agencies responsible for the highway system (e.g., use-related maintenance costs). Highway users take their own vehicle operating and travel time costs into account when they decide whether or not to make a trip, but they generally do not consider costs they impose on others.</t>
  </si>
  <si>
    <t>Pavement Costs ( in cents/mile) in 2015$</t>
  </si>
  <si>
    <t>Marginal Pavement Costs ( in cents per mile)</t>
  </si>
  <si>
    <t>2010 Pavement Costs (in cents per mile)</t>
  </si>
  <si>
    <t>Source: GAO-11-134 Freight Transportation, 2011, page 24</t>
  </si>
  <si>
    <t>Pavement Costs</t>
  </si>
  <si>
    <t>Addendum to the 1997 Federal Highway Cost Allocation Study Final Report, 2000. Table 13</t>
  </si>
  <si>
    <t>Truck, 80 kip 5-axle Comb/Urban Interstate (2015$/mile)</t>
  </si>
  <si>
    <t>All Trucks (less pickup trucks)</t>
  </si>
  <si>
    <t>Lane Miles</t>
  </si>
  <si>
    <t>Current</t>
  </si>
  <si>
    <t>Future NB</t>
  </si>
  <si>
    <t>Future B</t>
  </si>
  <si>
    <t>TOTAL</t>
  </si>
  <si>
    <t>Net Increase in Lane Miles (Build)-(No-Build)</t>
  </si>
  <si>
    <t>Free-Flow Speed (mph)</t>
  </si>
  <si>
    <t>Peak Speed (mph)</t>
  </si>
  <si>
    <t>Operations and Maintenance Costs</t>
  </si>
  <si>
    <t>Assumed Pavement Life (Years)</t>
  </si>
  <si>
    <t>Annual Cost per Lane Mile (2015$)</t>
  </si>
  <si>
    <t>CS - Industry Standard</t>
  </si>
  <si>
    <t>Calculation on Travel Time Index</t>
  </si>
  <si>
    <t>Change in Vehicle Miles Traveled</t>
  </si>
  <si>
    <t xml:space="preserve">Change in Vehicle Hours Traveled </t>
  </si>
  <si>
    <t>Change in Hours of Delay</t>
  </si>
  <si>
    <t>Benefits vs. Costs (7% Discount Rate)</t>
  </si>
  <si>
    <t>Benefits vs. Costs (3% Discount Rate)</t>
  </si>
  <si>
    <t>Average of 60 and 80 kipp 5-axle Cumbo/Urban Interstate</t>
  </si>
  <si>
    <t>Intercity Travel</t>
  </si>
  <si>
    <t>Local Travel</t>
  </si>
  <si>
    <t>Personal</t>
  </si>
  <si>
    <t>All Purposes</t>
  </si>
  <si>
    <t>2015$</t>
  </si>
  <si>
    <t>2014$</t>
  </si>
  <si>
    <t>Wage Rates</t>
  </si>
  <si>
    <t>Truck Drivers</t>
  </si>
  <si>
    <t>Revised Departmental Guidance on Valuation of Travel Time in Economic Analysis (Revision 2 – corrected)</t>
  </si>
  <si>
    <t>Gulf Coast (PADD 3)</t>
  </si>
  <si>
    <t>US Energy Information Administration, Gulf Coast,  All Grades All Formulations Retail Gasoline Prices</t>
  </si>
  <si>
    <t>US Energy Information Administration, Gulf Coast, Diesel (On-Highway) - All Types</t>
  </si>
  <si>
    <t>vehicle miles traveled on Arkansas roads.</t>
  </si>
  <si>
    <t>Crashes by Type, Arkansas</t>
  </si>
  <si>
    <t>Arkansas State Police, Highway Safety Office, "Arkansas 2013 Traffic Crash Statistics"</t>
  </si>
  <si>
    <t>Crash Rate per 100 million VMT, Property Damage Only</t>
  </si>
  <si>
    <t>Maintenance Cost per Lane Mile (2015$)</t>
  </si>
  <si>
    <t>2012$</t>
  </si>
  <si>
    <t>2013$</t>
  </si>
  <si>
    <t>FHWA Highway Statistics 2012/2013, Table SF 12 - State Highway Agency Capital Outlay and Maintenance, Total for All Areas</t>
  </si>
  <si>
    <t>FHWA Highway Statistics 2012/2013, Table HM 60 - Functional System Lane-Miles</t>
  </si>
  <si>
    <t>State Highway Agency - Maintenance Costs*</t>
  </si>
  <si>
    <t>State Highway Agency Owned Public Roads (lane-miles)*</t>
  </si>
  <si>
    <t>Notwe: *Does not include local roads</t>
  </si>
  <si>
    <t>Performance Grade ACHM PG 64-22 ($/lane mile)</t>
  </si>
  <si>
    <t>Performance Grade ACHM PG 70-22 ($/lane mile)</t>
  </si>
  <si>
    <t>Average ($/lane mile)</t>
  </si>
  <si>
    <t>Average Maintenance Costs (2015$)</t>
  </si>
  <si>
    <t>Paving Costs</t>
  </si>
  <si>
    <t>Maintence Costs</t>
  </si>
  <si>
    <t>Maintence Cost/Lane Mile</t>
  </si>
  <si>
    <t>2009$</t>
  </si>
  <si>
    <t>AM Speed (mph)</t>
  </si>
  <si>
    <t>PM Speed (mph)</t>
  </si>
  <si>
    <t>Average Speed (mph)</t>
  </si>
  <si>
    <t>Arkansas State Highway and Transportation Department, estimated costs per mile (revised July 2009)</t>
  </si>
  <si>
    <t>(2015$/Lane Mile)</t>
  </si>
  <si>
    <t>Annual Maintenance Cost</t>
  </si>
  <si>
    <t>Change in Maintenance Costs</t>
  </si>
  <si>
    <t>Medium/Large Auto</t>
  </si>
  <si>
    <t>Speed (mph)</t>
  </si>
  <si>
    <t>miles/gallon</t>
  </si>
  <si>
    <t>gallons/mile</t>
  </si>
  <si>
    <t>Trucks, 5-Axle Combo</t>
  </si>
  <si>
    <t>Fuel Consumption Table</t>
  </si>
  <si>
    <t>Scenario</t>
  </si>
  <si>
    <t xml:space="preserve">2010 No Build </t>
  </si>
  <si>
    <t>Purpose</t>
  </si>
  <si>
    <t xml:space="preserve">Time of Day </t>
  </si>
  <si>
    <t>MD</t>
  </si>
  <si>
    <t>NT</t>
  </si>
  <si>
    <t>Speed</t>
  </si>
  <si>
    <t xml:space="preserve">2010 Build </t>
  </si>
  <si>
    <t xml:space="preserve">2040 No Build </t>
  </si>
  <si>
    <t xml:space="preserve">2040 Build </t>
  </si>
  <si>
    <t>Gallons/Mile</t>
  </si>
  <si>
    <t>Fuel Consumption by Scenario</t>
  </si>
  <si>
    <t>Occupancy: Leisure, MD</t>
  </si>
  <si>
    <t>Occupancy: Leisure, NT</t>
  </si>
  <si>
    <t>Occupancy: Commute, MD</t>
  </si>
  <si>
    <t>Occupancy: Commute, NT</t>
  </si>
  <si>
    <t>Occupancy: Business, MD</t>
  </si>
  <si>
    <t>Occupancy: Business, NT</t>
  </si>
  <si>
    <t>Occupancy: Truck, MD</t>
  </si>
  <si>
    <t>2010 No-Build</t>
  </si>
  <si>
    <t>2010 Build</t>
  </si>
  <si>
    <t>MD VHT</t>
  </si>
  <si>
    <t>NT VHT</t>
  </si>
  <si>
    <t>MD VMT</t>
  </si>
  <si>
    <t>MD Delay</t>
  </si>
  <si>
    <t>NT Delay</t>
  </si>
  <si>
    <t>MD Speed (mph)</t>
  </si>
  <si>
    <t>NT Speed (mph)</t>
  </si>
  <si>
    <t xml:space="preserve">Change in Fuel Consumption </t>
  </si>
  <si>
    <t>2010 Build - No-Build</t>
  </si>
  <si>
    <t>2040 Build - No-Build</t>
  </si>
  <si>
    <t>Gallons</t>
  </si>
  <si>
    <t>I-30 Crossing</t>
  </si>
  <si>
    <t>Cost Benefit Analysis (No Discounting)</t>
  </si>
  <si>
    <t>Construction Costs</t>
  </si>
  <si>
    <t>A</t>
  </si>
  <si>
    <t>B</t>
  </si>
  <si>
    <t>C</t>
  </si>
  <si>
    <t>D</t>
  </si>
  <si>
    <t>E</t>
  </si>
  <si>
    <t>Calendar Year</t>
  </si>
  <si>
    <t>Value of Time Savings</t>
  </si>
  <si>
    <t>PV of Value of Time Savings (3%)
[C/(1+3%)^A]</t>
  </si>
  <si>
    <t>F</t>
  </si>
  <si>
    <t>G</t>
  </si>
  <si>
    <t>Table 2. Vehicle Operating Cost Savings due to Improved Congestion</t>
  </si>
  <si>
    <t>Table 1. Value of Time Savings due to Improved Congestion</t>
  </si>
  <si>
    <t>Total Vehicle Operating Cost Savings</t>
  </si>
  <si>
    <t>Non-Fuel VOC Savings</t>
  </si>
  <si>
    <t>Fuel VOC Savings</t>
  </si>
  <si>
    <t xml:space="preserve">Total Value of Time Savings </t>
  </si>
  <si>
    <t>PV of VOC Savings (3%)
[C/(1+3%)^A]</t>
  </si>
  <si>
    <t>PV of VOC Savings (7%)
[C/(1+7%)^A]</t>
  </si>
  <si>
    <t>Crash Reduction Savings</t>
  </si>
  <si>
    <t>PV of Crash Reduction Savings (3%)
[C/(1+3%)^A]</t>
  </si>
  <si>
    <t>PV of Crash Reduction Savings (7%)
[C/(1+7%)^A]</t>
  </si>
  <si>
    <t>PV of Value of Time Savings (7%)
[C/(1+7%)^A]</t>
  </si>
  <si>
    <t>Table 3. Crash Reduction Cost Savings due to Improved Congestion</t>
  </si>
  <si>
    <t xml:space="preserve">Total Crash Reduction Savings  </t>
  </si>
  <si>
    <t>Emissions Reduction Savings</t>
  </si>
  <si>
    <t>PV of Emissions Reduction Savings (3%)
[C/(1+3%)^A]</t>
  </si>
  <si>
    <t>PV of Emissions Reduction Savings (7%)
[C/(1+7%)^A]</t>
  </si>
  <si>
    <t xml:space="preserve">Total Emissions Reduction Savings </t>
  </si>
  <si>
    <t>Table 4. Emissions Reduction Cost Savings due to Improved Congestion</t>
  </si>
  <si>
    <t xml:space="preserve">Initial Capital Cost </t>
  </si>
  <si>
    <t xml:space="preserve">Operations &amp; Maintenance Costs </t>
  </si>
  <si>
    <t>Total Life Cycle Costs</t>
  </si>
  <si>
    <t>PV of Life Cycle Costs (3%)
[E/(1+3%)^A]</t>
  </si>
  <si>
    <t>PV of Life Cycle Costs (7%)
[E/(1+7%)^A]</t>
  </si>
  <si>
    <t>Table 6. Project Life Cycle Cost Analysis</t>
  </si>
  <si>
    <t>Table 7. Project Net Benefits</t>
  </si>
  <si>
    <t>PV of Net Benefits (3%)
[E/(1+3%)^A]</t>
  </si>
  <si>
    <t>PV of Net Benefits (7%)
[E/(1+7%)^A]</t>
  </si>
  <si>
    <t>jobs</t>
  </si>
  <si>
    <t>per</t>
  </si>
  <si>
    <t>of construction spending</t>
  </si>
  <si>
    <t>Jobs Created from Construction</t>
  </si>
  <si>
    <t>jobs.</t>
  </si>
  <si>
    <t>This construction project creates</t>
  </si>
  <si>
    <t>Tiger Grand Guidelines:</t>
  </si>
  <si>
    <t>Impact Type</t>
  </si>
  <si>
    <t>Employment</t>
  </si>
  <si>
    <t>Labor Income</t>
  </si>
  <si>
    <t>Value Added</t>
  </si>
  <si>
    <t>Output</t>
  </si>
  <si>
    <t>Direct Effect</t>
  </si>
  <si>
    <t>Indirect Effect</t>
  </si>
  <si>
    <t>Induced Effect</t>
  </si>
  <si>
    <t>Total Effect</t>
  </si>
  <si>
    <t>IMPLAN Economic Impacts (Average Annual for Study Period, 2015 Dollars)</t>
  </si>
  <si>
    <t xml:space="preserve">Average Wage Rate, Auto (2015$/hour) </t>
  </si>
  <si>
    <t>Million VMT</t>
  </si>
  <si>
    <t>Count</t>
  </si>
  <si>
    <t>Rate per 1 Million VMT</t>
  </si>
  <si>
    <t>Annual Cost</t>
  </si>
  <si>
    <t>Straight-Line Change in Safety Vehicle Operating Costs</t>
  </si>
  <si>
    <t>Vehicle Operating Cost</t>
  </si>
  <si>
    <t>U.S. Energy Information Administration, "January 2016 Monthly Energy Review</t>
  </si>
  <si>
    <t>Technical Support Document: Technical Update of the Social Cost of Carbon for Regulatory Impact Analysis Under Executive Order 12866, 2015, page 17, Table A1</t>
  </si>
  <si>
    <t>EPA, Office of Transportation and Air Quality, "Average In-Use Emissions from Heavy Duty Trucks", October 2008</t>
  </si>
  <si>
    <t>About this Spreadsheet</t>
  </si>
  <si>
    <t>About the B/C Assessment Spreadsheet Tabs</t>
  </si>
  <si>
    <t xml:space="preserve">The Benefit Cost (B/C) spreadsheet provided is broken down into several tabs to make it easy to understand the assumptions that were made to calculate costs and benefits.  Below follows a brief description of the intent of each tab. </t>
  </si>
  <si>
    <t>Straight Line Change</t>
  </si>
  <si>
    <t>O&amp;M Costs</t>
  </si>
  <si>
    <t>This tab calculates the increase in annual operations and maintenance costs, given the increase in line miles as part of the project.</t>
  </si>
  <si>
    <t>This tab displays the expenditure of construction costs over time for the project.</t>
  </si>
  <si>
    <t>BCA</t>
  </si>
  <si>
    <t>This tab displays the benefit-cost analysis for the project. Included in the tab are the benefits of the project split by type, construction and O&amp;M costs, and net benefits for each year from 2017 though 2040. Undiscounted values, as well as discounted values at 3% and 7% discount rates are included, along with benefit-cost ratios.</t>
  </si>
  <si>
    <t>Deliverable</t>
  </si>
  <si>
    <t>Economic Impacts</t>
  </si>
  <si>
    <t>This tab displays the economic impacts of the project, including:
The short-term gain in jobs caused by the construction spending
The long term direct, indirect, and induced changes in employment, labor income, value added and output induced by the increases in travel efficiency.</t>
  </si>
  <si>
    <t>Unit Costs</t>
  </si>
  <si>
    <t>This tab lists the assumptions, values,  rates, and sources used in the benefit-cost analysis, including: wage rates, occupancy rates, pavement costs, operating costs, fuel cost and consumption rates, crash rates and costs, O&amp;M costs, and emissions rates and costs.</t>
  </si>
  <si>
    <t>Industry Standard for Economic Impact</t>
  </si>
  <si>
    <t>Highway</t>
  </si>
  <si>
    <t>Bridge</t>
  </si>
  <si>
    <t>Total Construction Cost</t>
  </si>
  <si>
    <t>Table 3</t>
  </si>
  <si>
    <t>Table 4</t>
  </si>
  <si>
    <t>ESAL Summary Data with Development</t>
  </si>
  <si>
    <t>ESAL Summary Data without Development</t>
  </si>
  <si>
    <t>I-30 Mainline Southwest of Sevier Street</t>
  </si>
  <si>
    <t>Hwy. 67/Hwy. 229 at I-30 Interchange</t>
  </si>
  <si>
    <t>I-30 Frontage Road at Hwy. 229</t>
  </si>
  <si>
    <t>Projected (2016) Letting Year ADT</t>
  </si>
  <si>
    <t>Projected (2036) Letting Year + 20 Year ADT</t>
  </si>
  <si>
    <t>Projected T%</t>
  </si>
  <si>
    <t>Functional Class</t>
  </si>
  <si>
    <t>11/12 Urban Interstate &amp; Expressway</t>
  </si>
  <si>
    <t>06, All Rural Minor Arterials</t>
  </si>
  <si>
    <t>14, All Urban Principal Arterials</t>
  </si>
  <si>
    <t>Table Number</t>
  </si>
  <si>
    <t>SN and/or D</t>
  </si>
  <si>
    <t>SN6 or Between D12 and D13</t>
  </si>
  <si>
    <t>Between SN4 and SN5</t>
  </si>
  <si>
    <t>Between SN5 and SN6</t>
  </si>
  <si>
    <r>
      <t xml:space="preserve">Source: </t>
    </r>
    <r>
      <rPr>
        <b/>
        <i/>
        <sz val="11"/>
        <color theme="1"/>
        <rFont val="Calibri"/>
        <family val="2"/>
        <scheme val="minor"/>
      </rPr>
      <t>Traffic Count Plan, Traffic Projection Plan and Traffic Forecast CA0601 - I-30 Widening, Highway 70 to Sevier Street</t>
    </r>
    <r>
      <rPr>
        <b/>
        <sz val="11"/>
        <color theme="1"/>
        <rFont val="Calibri"/>
        <family val="2"/>
        <scheme val="minor"/>
      </rPr>
      <t>. Arkansas State Highway and Transportation Department. May 6, 2014</t>
    </r>
  </si>
  <si>
    <t>No Build</t>
  </si>
  <si>
    <t>Build</t>
  </si>
  <si>
    <t>Year 2018 No‐Build1 for Interstate 30 Eastbound Main Lanes and Ramps Peak Traffic Operations</t>
  </si>
  <si>
    <t>Year 2038 No‐Build1 for Interstate 30 Eastbound Main Lanes and Ramps Peak Traffic Operations</t>
  </si>
  <si>
    <t xml:space="preserve">Peak Hour Traffic </t>
  </si>
  <si>
    <t>Truck Percent</t>
  </si>
  <si>
    <t>Main Lane or Ramp LOS</t>
  </si>
  <si>
    <t>Roadway Element</t>
  </si>
  <si>
    <t>Number of Lanes</t>
  </si>
  <si>
    <t>West of Highway 70</t>
  </si>
  <si>
    <t>Mainline</t>
  </si>
  <si>
    <t xml:space="preserve">A </t>
  </si>
  <si>
    <t>Exit Ramp to Highway 70</t>
  </si>
  <si>
    <t>Exit Ramp</t>
  </si>
  <si>
    <t>Between Highway 70 Exit &amp; Entrance Ramps</t>
  </si>
  <si>
    <t>Entrance Ramp from Highway 70</t>
  </si>
  <si>
    <t>Entrance Ramp</t>
  </si>
  <si>
    <t>Between Highway 70 Entrance Ramp &amp; Highway 67 Exit Ramp</t>
  </si>
  <si>
    <t>Exit Ramp to Highway 67</t>
  </si>
  <si>
    <t>Between Highway 67 Exit &amp; Entrance Ramps</t>
  </si>
  <si>
    <t>Entrance Ramp from Highway 67</t>
  </si>
  <si>
    <t>Between Highway 67 Entrance Ramp &amp; South Street Exit Ramp</t>
  </si>
  <si>
    <t>Exit Ramp to South Street</t>
  </si>
  <si>
    <t>Between South Street Exit &amp; Entrance Ramps</t>
  </si>
  <si>
    <t>Entrance Ramp from South Street</t>
  </si>
  <si>
    <t>Between South Street Entrance Ramp &amp; Highway 5 Exit Ramp</t>
  </si>
  <si>
    <t>Exit Ramp to Highway 5</t>
  </si>
  <si>
    <t>Between Highway 5 Exit &amp; Entrance Ramps</t>
  </si>
  <si>
    <t>Year 2018 No‐Build1 for Interstate 30 Westbound Main Lanes and Ramps Peak Traffic Operations</t>
  </si>
  <si>
    <t>Year 2038 No‐Build1 for Interstate 30 Westbound Main Lanes and Ramps Peak Traffic Operations</t>
  </si>
  <si>
    <t>Entrance Ramp from Highway 5</t>
  </si>
  <si>
    <t>Between Highway 5 Entrance Ramp &amp; South Street Exit Ramp</t>
  </si>
  <si>
    <t>Between South Street Exit &amp; South Street Overpass</t>
  </si>
  <si>
    <t>Between South Street &amp; South Street Entrance Ramps</t>
  </si>
  <si>
    <t>Between South Street Entrance Ramp &amp; US‐67 Exit Ramp</t>
  </si>
  <si>
    <t>Between Highway 67 Entrance Ramp &amp; Highway 70 Exit Ramp</t>
  </si>
  <si>
    <t>Between South Street Exit &amp; South Street Entrance Ramp</t>
  </si>
  <si>
    <t>Between South Street Entrance Ramp &amp; Highway 67 Exit Ramp</t>
  </si>
  <si>
    <t>Between Highway 67 Entrance Ramps</t>
  </si>
  <si>
    <r>
      <t xml:space="preserve">Table 1A - </t>
    </r>
    <r>
      <rPr>
        <b/>
        <sz val="14"/>
        <color rgb="FFFF0000"/>
        <rFont val="Calibri"/>
        <family val="2"/>
        <scheme val="minor"/>
      </rPr>
      <t>No-Build</t>
    </r>
    <r>
      <rPr>
        <b/>
        <sz val="14"/>
        <color theme="1"/>
        <rFont val="Calibri"/>
        <family val="2"/>
        <scheme val="minor"/>
      </rPr>
      <t xml:space="preserve"> - </t>
    </r>
    <r>
      <rPr>
        <b/>
        <sz val="14"/>
        <color rgb="FFFF0000"/>
        <rFont val="Calibri"/>
        <family val="2"/>
        <scheme val="minor"/>
      </rPr>
      <t>Eastbound</t>
    </r>
    <r>
      <rPr>
        <b/>
        <sz val="14"/>
        <color theme="1"/>
        <rFont val="Calibri"/>
        <family val="2"/>
        <scheme val="minor"/>
      </rPr>
      <t xml:space="preserve"> Peak Hour Traffic Volumes and Level-of-Service -</t>
    </r>
    <r>
      <rPr>
        <b/>
        <sz val="14"/>
        <color rgb="FFFF0000"/>
        <rFont val="Calibri"/>
        <family val="2"/>
        <scheme val="minor"/>
      </rPr>
      <t xml:space="preserve"> 2018</t>
    </r>
  </si>
  <si>
    <r>
      <t xml:space="preserve">Table 2A - </t>
    </r>
    <r>
      <rPr>
        <b/>
        <sz val="14"/>
        <color rgb="FFFF0000"/>
        <rFont val="Calibri"/>
        <family val="2"/>
        <scheme val="minor"/>
      </rPr>
      <t>No-Build</t>
    </r>
    <r>
      <rPr>
        <b/>
        <sz val="14"/>
        <color theme="1"/>
        <rFont val="Calibri"/>
        <family val="2"/>
        <scheme val="minor"/>
      </rPr>
      <t xml:space="preserve"> - </t>
    </r>
    <r>
      <rPr>
        <b/>
        <sz val="14"/>
        <color rgb="FFFF0000"/>
        <rFont val="Calibri"/>
        <family val="2"/>
        <scheme val="minor"/>
      </rPr>
      <t>Eastbound</t>
    </r>
    <r>
      <rPr>
        <b/>
        <sz val="14"/>
        <color theme="1"/>
        <rFont val="Calibri"/>
        <family val="2"/>
        <scheme val="minor"/>
      </rPr>
      <t xml:space="preserve"> Peak Hour Traffic Volumes and Level-of-Service - </t>
    </r>
    <r>
      <rPr>
        <b/>
        <sz val="14"/>
        <color rgb="FFFF0000"/>
        <rFont val="Calibri"/>
        <family val="2"/>
        <scheme val="minor"/>
      </rPr>
      <t>2038</t>
    </r>
  </si>
  <si>
    <r>
      <t xml:space="preserve">Table 1B - </t>
    </r>
    <r>
      <rPr>
        <b/>
        <sz val="14"/>
        <color rgb="FFFF0000"/>
        <rFont val="Calibri"/>
        <family val="2"/>
        <scheme val="minor"/>
      </rPr>
      <t>No-Build</t>
    </r>
    <r>
      <rPr>
        <b/>
        <sz val="14"/>
        <color theme="1"/>
        <rFont val="Calibri"/>
        <family val="2"/>
        <scheme val="minor"/>
      </rPr>
      <t xml:space="preserve"> - </t>
    </r>
    <r>
      <rPr>
        <b/>
        <sz val="14"/>
        <color rgb="FFFF0000"/>
        <rFont val="Calibri"/>
        <family val="2"/>
        <scheme val="minor"/>
      </rPr>
      <t>Westbound</t>
    </r>
    <r>
      <rPr>
        <b/>
        <sz val="14"/>
        <color theme="1"/>
        <rFont val="Calibri"/>
        <family val="2"/>
        <scheme val="minor"/>
      </rPr>
      <t xml:space="preserve"> Peak Hour Traffic Volumes and Level-of-Service - </t>
    </r>
    <r>
      <rPr>
        <b/>
        <sz val="14"/>
        <color rgb="FFFF0000"/>
        <rFont val="Calibri"/>
        <family val="2"/>
        <scheme val="minor"/>
      </rPr>
      <t>2018</t>
    </r>
  </si>
  <si>
    <r>
      <t xml:space="preserve">Table 2B - </t>
    </r>
    <r>
      <rPr>
        <b/>
        <sz val="14"/>
        <color rgb="FFFF0000"/>
        <rFont val="Calibri"/>
        <family val="2"/>
        <scheme val="minor"/>
      </rPr>
      <t>No-Build</t>
    </r>
    <r>
      <rPr>
        <b/>
        <sz val="14"/>
        <color theme="1"/>
        <rFont val="Calibri"/>
        <family val="2"/>
        <scheme val="minor"/>
      </rPr>
      <t xml:space="preserve"> - </t>
    </r>
    <r>
      <rPr>
        <b/>
        <sz val="14"/>
        <color rgb="FFFF0000"/>
        <rFont val="Calibri"/>
        <family val="2"/>
        <scheme val="minor"/>
      </rPr>
      <t>Westbound</t>
    </r>
    <r>
      <rPr>
        <b/>
        <sz val="14"/>
        <color theme="1"/>
        <rFont val="Calibri"/>
        <family val="2"/>
        <scheme val="minor"/>
      </rPr>
      <t xml:space="preserve"> Peak Hour Traffic Volumes and Level-of-Service - </t>
    </r>
    <r>
      <rPr>
        <b/>
        <sz val="14"/>
        <color rgb="FFFF0000"/>
        <rFont val="Calibri"/>
        <family val="2"/>
        <scheme val="minor"/>
      </rPr>
      <t>2038</t>
    </r>
  </si>
  <si>
    <r>
      <t xml:space="preserve">Table 5A - </t>
    </r>
    <r>
      <rPr>
        <b/>
        <sz val="14"/>
        <color rgb="FFFF0000"/>
        <rFont val="Calibri"/>
        <family val="2"/>
        <scheme val="minor"/>
      </rPr>
      <t xml:space="preserve">Build </t>
    </r>
    <r>
      <rPr>
        <b/>
        <sz val="14"/>
        <color theme="1"/>
        <rFont val="Calibri"/>
        <family val="2"/>
        <scheme val="minor"/>
      </rPr>
      <t xml:space="preserve">- </t>
    </r>
    <r>
      <rPr>
        <b/>
        <sz val="14"/>
        <color rgb="FFFF0000"/>
        <rFont val="Calibri"/>
        <family val="2"/>
        <scheme val="minor"/>
      </rPr>
      <t>Eastbound</t>
    </r>
    <r>
      <rPr>
        <b/>
        <sz val="14"/>
        <color theme="1"/>
        <rFont val="Calibri"/>
        <family val="2"/>
        <scheme val="minor"/>
      </rPr>
      <t xml:space="preserve"> Peak Hour Traffic Volumes and Level-of-Service - </t>
    </r>
    <r>
      <rPr>
        <b/>
        <sz val="14"/>
        <color rgb="FFFF0000"/>
        <rFont val="Calibri"/>
        <family val="2"/>
        <scheme val="minor"/>
      </rPr>
      <t>2018</t>
    </r>
  </si>
  <si>
    <r>
      <t xml:space="preserve">Table 6A - </t>
    </r>
    <r>
      <rPr>
        <b/>
        <sz val="14"/>
        <color rgb="FFFF0000"/>
        <rFont val="Calibri"/>
        <family val="2"/>
        <scheme val="minor"/>
      </rPr>
      <t>Build</t>
    </r>
    <r>
      <rPr>
        <b/>
        <sz val="14"/>
        <color theme="1"/>
        <rFont val="Calibri"/>
        <family val="2"/>
        <scheme val="minor"/>
      </rPr>
      <t xml:space="preserve"> -</t>
    </r>
    <r>
      <rPr>
        <b/>
        <sz val="14"/>
        <color rgb="FFFF0000"/>
        <rFont val="Calibri"/>
        <family val="2"/>
        <scheme val="minor"/>
      </rPr>
      <t xml:space="preserve"> Eastbound</t>
    </r>
    <r>
      <rPr>
        <b/>
        <sz val="14"/>
        <color theme="1"/>
        <rFont val="Calibri"/>
        <family val="2"/>
        <scheme val="minor"/>
      </rPr>
      <t xml:space="preserve"> Peak Hour Traffic Volumes and Level-of-Service - </t>
    </r>
    <r>
      <rPr>
        <b/>
        <sz val="14"/>
        <color rgb="FFFF0000"/>
        <rFont val="Calibri"/>
        <family val="2"/>
        <scheme val="minor"/>
      </rPr>
      <t>2038</t>
    </r>
  </si>
  <si>
    <r>
      <t xml:space="preserve">Table 5B - </t>
    </r>
    <r>
      <rPr>
        <b/>
        <sz val="14"/>
        <color rgb="FFFF0000"/>
        <rFont val="Calibri"/>
        <family val="2"/>
        <scheme val="minor"/>
      </rPr>
      <t>Build</t>
    </r>
    <r>
      <rPr>
        <b/>
        <sz val="14"/>
        <color theme="1"/>
        <rFont val="Calibri"/>
        <family val="2"/>
        <scheme val="minor"/>
      </rPr>
      <t xml:space="preserve"> - </t>
    </r>
    <r>
      <rPr>
        <b/>
        <sz val="14"/>
        <color rgb="FFFF0000"/>
        <rFont val="Calibri"/>
        <family val="2"/>
        <scheme val="minor"/>
      </rPr>
      <t>Westbound</t>
    </r>
    <r>
      <rPr>
        <b/>
        <sz val="14"/>
        <color theme="1"/>
        <rFont val="Calibri"/>
        <family val="2"/>
        <scheme val="minor"/>
      </rPr>
      <t xml:space="preserve"> Peak Hour Traffic Volumes and Level-of-Service - </t>
    </r>
    <r>
      <rPr>
        <b/>
        <sz val="14"/>
        <color rgb="FFFF0000"/>
        <rFont val="Calibri"/>
        <family val="2"/>
        <scheme val="minor"/>
      </rPr>
      <t>2018</t>
    </r>
  </si>
  <si>
    <r>
      <t>Table 6B -</t>
    </r>
    <r>
      <rPr>
        <b/>
        <sz val="14"/>
        <color rgb="FFFF0000"/>
        <rFont val="Calibri"/>
        <family val="2"/>
        <scheme val="minor"/>
      </rPr>
      <t xml:space="preserve"> Build</t>
    </r>
    <r>
      <rPr>
        <b/>
        <sz val="14"/>
        <color theme="1"/>
        <rFont val="Calibri"/>
        <family val="2"/>
        <scheme val="minor"/>
      </rPr>
      <t xml:space="preserve"> - </t>
    </r>
    <r>
      <rPr>
        <b/>
        <sz val="14"/>
        <color rgb="FFFF0000"/>
        <rFont val="Calibri"/>
        <family val="2"/>
        <scheme val="minor"/>
      </rPr>
      <t>Westbound</t>
    </r>
    <r>
      <rPr>
        <b/>
        <sz val="14"/>
        <color theme="1"/>
        <rFont val="Calibri"/>
        <family val="2"/>
        <scheme val="minor"/>
      </rPr>
      <t xml:space="preserve"> Peak Hour Traffic Volumes and Level-of-Service - </t>
    </r>
    <r>
      <rPr>
        <b/>
        <sz val="14"/>
        <color rgb="FFFF0000"/>
        <rFont val="Calibri"/>
        <family val="2"/>
        <scheme val="minor"/>
      </rPr>
      <t>2038</t>
    </r>
  </si>
  <si>
    <t>Delay per Vehicle (seconds)</t>
  </si>
  <si>
    <t>Build 2018</t>
  </si>
  <si>
    <t>Build 2038</t>
  </si>
  <si>
    <t>Average Daily Delay (hours)</t>
  </si>
  <si>
    <t>No-Build</t>
  </si>
  <si>
    <t>Daily</t>
  </si>
  <si>
    <t>Build vs. No Build</t>
  </si>
  <si>
    <t>days/year</t>
  </si>
  <si>
    <t>Delay (hours)</t>
  </si>
  <si>
    <t>Change per Year</t>
  </si>
  <si>
    <t>Traffic Efficiency Changes</t>
  </si>
  <si>
    <t>per hour</t>
  </si>
  <si>
    <t>Non-Fuel Vehicle Operating Costs</t>
  </si>
  <si>
    <t>Value of Time Costs</t>
  </si>
  <si>
    <t>Fuel Vehicle Operating Costs</t>
  </si>
  <si>
    <t>per gallon</t>
  </si>
  <si>
    <t>Avg Occupant</t>
  </si>
  <si>
    <t>Avg Occupants</t>
  </si>
  <si>
    <t>(Build - No-Build)</t>
  </si>
  <si>
    <t xml:space="preserve">I-30 </t>
  </si>
  <si>
    <t>Total Project Net Benefits</t>
  </si>
  <si>
    <t>Total Project Life Cycle Costs</t>
  </si>
  <si>
    <t>Safety Costs (Total)</t>
  </si>
  <si>
    <t>per 100 million VMT</t>
  </si>
  <si>
    <t>Economic Cost per Crash (2015$)</t>
  </si>
  <si>
    <t>Emissions Costs (Build) - (No Build)</t>
  </si>
  <si>
    <t>Change in CO2 Costs</t>
  </si>
  <si>
    <t>Cost per metric ton</t>
  </si>
  <si>
    <t>Change in VOCs Costs</t>
  </si>
  <si>
    <t>Change in NOx Costs</t>
  </si>
  <si>
    <t>Change in PM Costs</t>
  </si>
  <si>
    <t>Change in SO2 Costs</t>
  </si>
  <si>
    <t>Change in Total Emissions Costs</t>
  </si>
  <si>
    <t>Auto, urban, Interstate (2015/mile)</t>
  </si>
  <si>
    <t>Calculations for Assumed Miles per Hour Conversion</t>
  </si>
  <si>
    <t>City</t>
  </si>
  <si>
    <t>Avg MPH</t>
  </si>
  <si>
    <t>U.S. Environmental Protection Agency, Office of Transportation &amp; Air Quality: https://www.fueleconomy.gov/feg/fe_test_schedules.shtml</t>
  </si>
  <si>
    <t>Percent of Time</t>
  </si>
  <si>
    <t>Assumed MPH</t>
  </si>
  <si>
    <t xml:space="preserve">Miles Per Hour </t>
  </si>
  <si>
    <t>Cost per Hour</t>
  </si>
  <si>
    <t>Miles per Hour</t>
  </si>
  <si>
    <t>Gallons per Hour</t>
  </si>
  <si>
    <t xml:space="preserve"> (Build) - (No Build) Delay Based Value of Time Cost and Vehicle Operating Costs</t>
  </si>
  <si>
    <t>VOC, Non-Fuel Auto,  (2015$/hour)</t>
  </si>
  <si>
    <t>VOC, Non-Fuel Truck, (2015$/hour)</t>
  </si>
  <si>
    <t>Average Gallons per Hour, Truck</t>
  </si>
  <si>
    <t>Average Gallons per Hour, Auto</t>
  </si>
  <si>
    <t>gallons per hour</t>
  </si>
  <si>
    <t>g per hour</t>
  </si>
  <si>
    <t>metric  tons per hour</t>
  </si>
  <si>
    <t>CO2 grams per Hour</t>
  </si>
  <si>
    <t>Emissions, Grams per hour</t>
  </si>
  <si>
    <t xml:space="preserve">Emissions (grams per Hour) </t>
  </si>
  <si>
    <t>g/mile</t>
  </si>
  <si>
    <t xml:space="preserve">Auto </t>
  </si>
  <si>
    <t>SO2 Emissions</t>
  </si>
  <si>
    <t>g/hour</t>
  </si>
  <si>
    <t>Carbon dioxide (CO2) - Auto, Grams per hour</t>
  </si>
  <si>
    <t>Volatile Organic Compounds (VOCs) - Auto, Grams per hour</t>
  </si>
  <si>
    <t>Nitrogen oxides (NOx) - Auto, Grams per hour</t>
  </si>
  <si>
    <t>Particulate matter (PM) - Auto, Grams per hour</t>
  </si>
  <si>
    <t>Sulfur dioxide (SO2) - Auto, Grams per hour</t>
  </si>
  <si>
    <t>Carbon dioxide (CO2) - Truck, Grams per hour</t>
  </si>
  <si>
    <t>Volatile Organic Compounds (VOCs) - Truck, Grams per hour</t>
  </si>
  <si>
    <t>Nitrogen oxides (NOx) - Truck, Grams per hour</t>
  </si>
  <si>
    <t>Particulate matter (PM) - Truck, Grams per hour</t>
  </si>
  <si>
    <t>Sulfur dioxide (SO2) - Truck, Grams per hour</t>
  </si>
  <si>
    <t>Auto Safety Costs (Property Damage Only)</t>
  </si>
  <si>
    <t>Auto Safety Costs (Injury Accidents)</t>
  </si>
  <si>
    <t>Auto Safety Costs (Fatal Accidents)</t>
  </si>
  <si>
    <t>Truck Safety Costs (Property Damage Only)</t>
  </si>
  <si>
    <t>Truck Safety Costs (Injury Accidents)</t>
  </si>
  <si>
    <t>Truck Safety Costs (Fatal Accidents)</t>
  </si>
  <si>
    <t>Auto Safety Costs (Total)</t>
  </si>
  <si>
    <t>Truck Safety Costs (Total)</t>
  </si>
  <si>
    <t>Change in Crash Costs</t>
  </si>
  <si>
    <t>Change in Fuel Vehicle Operating Costs</t>
  </si>
  <si>
    <t>Change in Non-Fuel Vehicle Operating Costs</t>
  </si>
  <si>
    <t>Change in Value of Time Costs</t>
  </si>
  <si>
    <t>Change in Emissions Costs</t>
  </si>
  <si>
    <t>Total (2020 to 2040)</t>
  </si>
  <si>
    <t>Annual Average (Total/20)</t>
  </si>
  <si>
    <t>This tab includes tables formatted for final delivery. The following tables are included:
Table 1. Value of Time Savings due to Improved Congestion
Table 2. Vehicle Operating Cost Savings due to Improved Congestion
Table 3. Crash Reduction Cost Savings due to Improved Congestion
Table 4. Emissions Reduction Cost Savings due to Improved Congestion
Table 6. Project Life Cycle Cost Analysis
Table 7. Project Net Benefits</t>
  </si>
  <si>
    <t>For EIA</t>
  </si>
  <si>
    <t xml:space="preserve"> (Build) - (No Build) Change in Costs - for use in Economic Impact Analysis</t>
  </si>
  <si>
    <t>Raw Traffic Counts</t>
  </si>
  <si>
    <t>Raw LOS</t>
  </si>
  <si>
    <t>This tab is the raw daily traffic forecasts from (Traffic Count Plan, Traffic Projection Plan and Traffic Forecast CA0601 - I-30 Widening, Highway 70 to Sevier Street. Arkansas State Highway and Transportation). The forecasts are the daily traffic counts for each scenario for 2016 and 2036.</t>
  </si>
  <si>
    <t>This tab is the raw level-of-service forecasts from (Interchange Justification Report for AHTD Job No. CA0601: F.A.P. No 9991 Interstate 30 Highway 70 - Sevier Street (Widening) Saline County Arkansas). The forecasts are the level-of-service estimates for the links in each scenario for 2018 and 2038.</t>
  </si>
  <si>
    <t>Traffic Counts</t>
  </si>
  <si>
    <t>This tab uses staight-line growth to extent the raw traffic counts forward fout years, from 2016 and 2036 to 2020 and 2040.</t>
  </si>
  <si>
    <t>Annualized</t>
  </si>
  <si>
    <t>This tab converts daily traffic and delay numbers to annualized figures.</t>
  </si>
  <si>
    <t>This tab interpolates the change in traffic, VMT and Delay for the years between 2020 and 2040, using the assumption of a straight-line growth rate.</t>
  </si>
  <si>
    <t>VOT and VOC</t>
  </si>
  <si>
    <t>This tab calculates the change in the value of time costs and vehicle operating costs  from 2020 through 2040 by applying hourly values of time to the change in delay calculated in the Straight Line Change tab.</t>
  </si>
  <si>
    <t>Emissions Costs</t>
  </si>
  <si>
    <t>This tab calculates the changes in emissions costs using the change in delay, hourly emissions rates, and assigns dollar values to the projected emissions.</t>
  </si>
  <si>
    <t>Crash Costs</t>
  </si>
  <si>
    <t>This tab calculates the change in safety costs from 2020 through 2040 by applying crash rates and crash costs to the change in VMT calculated in the Straight Line Change tab. The crash rates are reduced in the build scenario due the extra lanes.</t>
  </si>
  <si>
    <t xml:space="preserve">This tab is a summary table for the changes in the value of time, vehicle operating costs, safety cost, and emissions. Values for the Economic Impact Analysis do not include emissions, and only include half of the value of time savings for autos. </t>
  </si>
  <si>
    <t>Benefit-Cost Assessment Spreadsheet for I-30 Corridor in Saline County, Arkansas</t>
  </si>
  <si>
    <t>Peak Hour Auto Traffic</t>
  </si>
  <si>
    <t>Peak Hour Truck Traffic</t>
  </si>
  <si>
    <t>Peak Hour Auto Delay (seconds)</t>
  </si>
  <si>
    <t>Peak Hour Truck Delay (seconds)</t>
  </si>
  <si>
    <t>No-Build Eastbound 2018</t>
  </si>
  <si>
    <t>No-Build Westbound 2018</t>
  </si>
  <si>
    <t>Build Eastbound 2018</t>
  </si>
  <si>
    <t>Build Westbound 2018</t>
  </si>
  <si>
    <t>No-Build Eastbound 2038</t>
  </si>
  <si>
    <t>No-Build Westbound 2038</t>
  </si>
  <si>
    <t>Build Eastbound 2038</t>
  </si>
  <si>
    <t>Build Westbound 2038</t>
  </si>
  <si>
    <t>No-Build 2018</t>
  </si>
  <si>
    <t>No-Build 2038</t>
  </si>
  <si>
    <t>Peak Hour Truck Traffic (X Links)</t>
  </si>
  <si>
    <t>Peak Hour Auto Traffic (X Links)</t>
  </si>
  <si>
    <t>AM+PM</t>
  </si>
  <si>
    <t>Total Change in Costs (EIA version)</t>
  </si>
  <si>
    <t>Total Change in Costs (BCA Version)</t>
  </si>
  <si>
    <t>Daily VMT Count</t>
  </si>
  <si>
    <t>Assumed Reduction in Crash Rate</t>
  </si>
  <si>
    <t>This tab calculates the vehicle miles traveled, assuming each trip is some percentage of the total milage.</t>
  </si>
  <si>
    <t>LOS to Delay</t>
  </si>
  <si>
    <t>Using the raw level-of-service data (both level-of-service and traffic counts) this tab calculates the hours of delay for each scenario and year.</t>
  </si>
  <si>
    <t>PE</t>
  </si>
  <si>
    <t>Survey</t>
  </si>
  <si>
    <t>ROW</t>
  </si>
  <si>
    <t>Utilities</t>
  </si>
  <si>
    <t>CEI</t>
  </si>
  <si>
    <t>Construction</t>
  </si>
  <si>
    <t xml:space="preserve">Construction and Other Capital Costs </t>
  </si>
  <si>
    <t>Peak Hour Auto Delay, Assuming 2 Hours of Peak Traffic in AM and PM - (hours)</t>
  </si>
  <si>
    <t>Peak Hour Truck Delay, Assuming 2 Hours of Peak Traffic in AM and PM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</si>
</sst>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quot;$&quot;#,##0.000"/>
    <numFmt numFmtId="167" formatCode="0.0%"/>
    <numFmt numFmtId="168" formatCode="_(&quot;$&quot;* #,##0_);_(&quot;$&quot;* \(#,##0\);_(&quot;$&quot;* &quot;-&quot;??_);_(@_)"/>
    <numFmt numFmtId="169" formatCode="0.0"/>
    <numFmt numFmtId="170" formatCode="0.0000"/>
    <numFmt numFmtId="171" formatCode="#,##0.0000"/>
    <numFmt numFmtId="172" formatCode="#,##0.00000"/>
    <numFmt numFmtId="173" formatCode="0.00000"/>
    <numFmt numFmtId="174" formatCode="0.000"/>
    <numFmt numFmtId="175" formatCode="#,##0.000"/>
    <numFmt numFmtId="176" formatCode="#,##0.0"/>
    <numFmt numFmtId="177" formatCode="&quot;$&quot;#,##0.0000"/>
    <numFmt numFmtId="178" formatCode="0.00000000"/>
    <numFmt numFmtId="179" formatCode="0.0000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theme="8" tint="-0.499984740745262"/>
      <name val="Calibri"/>
      <family val="2"/>
      <scheme val="minor"/>
    </font>
    <font>
      <b/>
      <sz val="11"/>
      <name val="Calibri"/>
      <family val="2"/>
      <scheme val="minor"/>
    </font>
    <font>
      <b/>
      <sz val="14"/>
      <color theme="1"/>
      <name val="Calibri"/>
      <family val="2"/>
      <scheme val="minor"/>
    </font>
    <font>
      <sz val="10"/>
      <name val="Arial"/>
      <family val="2"/>
    </font>
    <font>
      <b/>
      <sz val="10"/>
      <name val="Calibri"/>
      <family val="2"/>
      <scheme val="minor"/>
    </font>
    <font>
      <sz val="10"/>
      <name val="Calibri"/>
      <family val="2"/>
      <scheme val="minor"/>
    </font>
    <font>
      <b/>
      <i/>
      <sz val="10"/>
      <name val="Calibri"/>
      <family val="2"/>
      <scheme val="minor"/>
    </font>
    <font>
      <i/>
      <sz val="10"/>
      <name val="Calibri"/>
      <family val="2"/>
      <scheme val="minor"/>
    </font>
    <font>
      <b/>
      <sz val="8"/>
      <color indexed="81"/>
      <name val="Tahoma"/>
      <family val="2"/>
    </font>
    <font>
      <sz val="8"/>
      <color indexed="81"/>
      <name val="Tahoma"/>
      <family val="2"/>
    </font>
    <font>
      <u/>
      <sz val="10"/>
      <color indexed="12"/>
      <name val="Calibri"/>
      <family val="2"/>
    </font>
    <font>
      <i/>
      <sz val="10"/>
      <color theme="1"/>
      <name val="Calibri"/>
      <family val="2"/>
      <scheme val="minor"/>
    </font>
    <font>
      <u/>
      <sz val="10"/>
      <color indexed="12"/>
      <name val="Calibri"/>
      <family val="2"/>
      <scheme val="minor"/>
    </font>
    <font>
      <sz val="10"/>
      <color rgb="FFFF0000"/>
      <name val="Calibri"/>
      <family val="2"/>
      <scheme val="minor"/>
    </font>
    <font>
      <i/>
      <sz val="1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0"/>
      <color theme="1"/>
      <name val="Calibri"/>
      <family val="2"/>
      <scheme val="minor"/>
    </font>
    <font>
      <b/>
      <sz val="10"/>
      <color theme="1"/>
      <name val="Calibri"/>
      <family val="2"/>
      <scheme val="minor"/>
    </font>
    <font>
      <b/>
      <sz val="11"/>
      <color rgb="FF000000"/>
      <name val="Calibri"/>
      <family val="2"/>
    </font>
    <font>
      <sz val="11"/>
      <color rgb="FF000000"/>
      <name val="Calibri"/>
      <family val="2"/>
    </font>
    <font>
      <b/>
      <sz val="11"/>
      <color theme="0"/>
      <name val="Calibri"/>
      <family val="2"/>
    </font>
    <font>
      <sz val="10"/>
      <color rgb="FF000000"/>
      <name val="Calibri"/>
      <family val="2"/>
      <scheme val="minor"/>
    </font>
    <font>
      <sz val="11"/>
      <color theme="1"/>
      <name val="Book Antiqua"/>
      <family val="1"/>
    </font>
    <font>
      <b/>
      <sz val="10"/>
      <color rgb="FF0070C0"/>
      <name val="Calibri"/>
      <family val="2"/>
      <scheme val="minor"/>
    </font>
    <font>
      <b/>
      <u/>
      <sz val="20"/>
      <color theme="1"/>
      <name val="Arial"/>
      <family val="2"/>
    </font>
    <font>
      <sz val="10"/>
      <color theme="1"/>
      <name val="Arial"/>
      <family val="2"/>
    </font>
    <font>
      <b/>
      <u/>
      <sz val="14"/>
      <color theme="1"/>
      <name val="Arial"/>
      <family val="2"/>
    </font>
    <font>
      <b/>
      <u/>
      <sz val="10"/>
      <color theme="1"/>
      <name val="Arial"/>
      <family val="2"/>
    </font>
    <font>
      <b/>
      <sz val="10"/>
      <color theme="0"/>
      <name val="Arial"/>
      <family val="2"/>
    </font>
    <font>
      <b/>
      <sz val="10"/>
      <color theme="1"/>
      <name val="Arial"/>
      <family val="2"/>
    </font>
    <font>
      <b/>
      <i/>
      <sz val="11"/>
      <color theme="1"/>
      <name val="Calibri"/>
      <family val="2"/>
      <scheme val="minor"/>
    </font>
    <font>
      <b/>
      <sz val="12"/>
      <color theme="1"/>
      <name val="Calibri"/>
      <family val="2"/>
      <scheme val="minor"/>
    </font>
    <font>
      <b/>
      <sz val="14"/>
      <color rgb="FFFF0000"/>
      <name val="Calibri"/>
      <family val="2"/>
      <scheme val="minor"/>
    </font>
    <font>
      <i/>
      <sz val="11"/>
      <color theme="0"/>
      <name val="Calibri"/>
      <family val="2"/>
      <scheme val="minor"/>
    </font>
  </fonts>
  <fills count="2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DEBF7"/>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9" tint="-0.499984740745262"/>
        <bgColor indexed="64"/>
      </patternFill>
    </fill>
    <fill>
      <patternFill patternType="solid">
        <fgColor theme="9"/>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rgb="FF000000"/>
      </left>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bottom style="medium">
        <color indexed="64"/>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cellStyleXfs>
  <cellXfs count="838">
    <xf numFmtId="0" fontId="0" fillId="0" borderId="0" xfId="0"/>
    <xf numFmtId="0" fontId="0" fillId="0" borderId="0" xfId="0" applyAlignment="1">
      <alignment horizontal="center"/>
    </xf>
    <xf numFmtId="165" fontId="0" fillId="0" borderId="0" xfId="0" applyNumberFormat="1" applyAlignment="1">
      <alignment horizontal="center"/>
    </xf>
    <xf numFmtId="0" fontId="0" fillId="0" borderId="0" xfId="0" applyAlignment="1">
      <alignment horizontal="left"/>
    </xf>
    <xf numFmtId="0" fontId="0" fillId="0" borderId="0" xfId="0" applyAlignment="1">
      <alignment wrapText="1"/>
    </xf>
    <xf numFmtId="2" fontId="0" fillId="0" borderId="0" xfId="0" applyNumberFormat="1" applyAlignment="1">
      <alignment horizontal="center"/>
    </xf>
    <xf numFmtId="0" fontId="0" fillId="0" borderId="3" xfId="0" applyBorder="1"/>
    <xf numFmtId="0" fontId="0" fillId="0" borderId="3" xfId="0" applyBorder="1" applyAlignment="1">
      <alignment horizontal="center"/>
    </xf>
    <xf numFmtId="0" fontId="2" fillId="0" borderId="3" xfId="0" applyFont="1" applyBorder="1" applyAlignment="1">
      <alignment horizontal="center"/>
    </xf>
    <xf numFmtId="0" fontId="0" fillId="0" borderId="3" xfId="0" applyBorder="1" applyAlignment="1">
      <alignment horizontal="center" wrapText="1"/>
    </xf>
    <xf numFmtId="165" fontId="0" fillId="0" borderId="3" xfId="0" applyNumberFormat="1" applyBorder="1" applyAlignment="1">
      <alignment horizontal="center"/>
    </xf>
    <xf numFmtId="165" fontId="0" fillId="0" borderId="3" xfId="0" applyNumberFormat="1" applyFont="1" applyBorder="1" applyAlignment="1">
      <alignment horizontal="center"/>
    </xf>
    <xf numFmtId="0" fontId="2" fillId="0" borderId="0" xfId="0" applyFont="1"/>
    <xf numFmtId="0" fontId="2" fillId="0" borderId="3" xfId="0" applyFont="1" applyBorder="1"/>
    <xf numFmtId="0" fontId="0" fillId="0" borderId="3" xfId="0" applyFill="1" applyBorder="1"/>
    <xf numFmtId="0" fontId="0" fillId="0" borderId="3" xfId="0" applyBorder="1" applyAlignment="1">
      <alignment wrapText="1"/>
    </xf>
    <xf numFmtId="10" fontId="0" fillId="0" borderId="3" xfId="0" applyNumberFormat="1" applyBorder="1" applyAlignment="1">
      <alignment horizontal="center"/>
    </xf>
    <xf numFmtId="10" fontId="2" fillId="0" borderId="3" xfId="0" applyNumberFormat="1" applyFont="1" applyBorder="1" applyAlignment="1">
      <alignment horizontal="center"/>
    </xf>
    <xf numFmtId="0" fontId="0" fillId="0" borderId="3" xfId="0" applyBorder="1" applyAlignment="1">
      <alignment horizontal="right"/>
    </xf>
    <xf numFmtId="0" fontId="0" fillId="0" borderId="3" xfId="0" applyFont="1" applyBorder="1" applyAlignment="1">
      <alignment horizontal="center"/>
    </xf>
    <xf numFmtId="167" fontId="0" fillId="0" borderId="3" xfId="2" applyNumberFormat="1" applyFont="1" applyBorder="1" applyAlignment="1">
      <alignment horizontal="center"/>
    </xf>
    <xf numFmtId="2" fontId="0" fillId="0" borderId="3" xfId="0" applyNumberFormat="1" applyBorder="1" applyAlignment="1">
      <alignment horizontal="center"/>
    </xf>
    <xf numFmtId="0" fontId="2" fillId="0" borderId="3" xfId="0" applyFont="1" applyBorder="1" applyAlignment="1">
      <alignment horizontal="center" wrapText="1"/>
    </xf>
    <xf numFmtId="167" fontId="0" fillId="0" borderId="3" xfId="0" applyNumberFormat="1" applyBorder="1" applyAlignment="1">
      <alignment horizontal="center"/>
    </xf>
    <xf numFmtId="0" fontId="0" fillId="0" borderId="3" xfId="0" applyFont="1" applyBorder="1"/>
    <xf numFmtId="0" fontId="0" fillId="2" borderId="3" xfId="0" applyFill="1" applyBorder="1"/>
    <xf numFmtId="0" fontId="2" fillId="0" borderId="0" xfId="0" applyFont="1" applyAlignment="1">
      <alignment horizontal="center" wrapText="1"/>
    </xf>
    <xf numFmtId="0" fontId="4" fillId="0" borderId="0" xfId="3" applyAlignment="1">
      <alignment vertical="center"/>
    </xf>
    <xf numFmtId="0" fontId="2" fillId="0" borderId="6" xfId="0" applyFont="1" applyBorder="1"/>
    <xf numFmtId="0" fontId="0" fillId="0" borderId="6" xfId="0" applyBorder="1" applyAlignment="1">
      <alignment horizontal="center"/>
    </xf>
    <xf numFmtId="0" fontId="0" fillId="0" borderId="0" xfId="0" applyFont="1"/>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6" fontId="6" fillId="0" borderId="3" xfId="0" applyNumberFormat="1" applyFont="1" applyBorder="1" applyAlignment="1">
      <alignment horizontal="center" vertical="center" wrapText="1"/>
    </xf>
    <xf numFmtId="0" fontId="0" fillId="0" borderId="3" xfId="0" applyFont="1" applyBorder="1" applyAlignment="1">
      <alignment horizontal="left" vertical="center" wrapText="1"/>
    </xf>
    <xf numFmtId="0" fontId="8" fillId="0" borderId="0" xfId="0" applyFont="1" applyFill="1"/>
    <xf numFmtId="0" fontId="0" fillId="0" borderId="0" xfId="0" applyFont="1" applyFill="1"/>
    <xf numFmtId="0" fontId="0" fillId="0" borderId="0" xfId="0" applyFont="1" applyAlignment="1">
      <alignment horizontal="left" vertical="center"/>
    </xf>
    <xf numFmtId="0" fontId="0" fillId="0" borderId="0" xfId="0" applyFont="1" applyAlignment="1">
      <alignment vertical="center"/>
    </xf>
    <xf numFmtId="0" fontId="9" fillId="0" borderId="3" xfId="0" applyFont="1" applyFill="1" applyBorder="1" applyAlignment="1">
      <alignment horizontal="center" vertical="center" wrapText="1"/>
    </xf>
    <xf numFmtId="0" fontId="12" fillId="0" borderId="0" xfId="4" applyFont="1" applyAlignment="1">
      <alignment wrapText="1"/>
    </xf>
    <xf numFmtId="0" fontId="13" fillId="0" borderId="0" xfId="4" applyFont="1"/>
    <xf numFmtId="0" fontId="12" fillId="4" borderId="10" xfId="4" applyFont="1" applyFill="1" applyBorder="1" applyAlignment="1">
      <alignment wrapText="1"/>
    </xf>
    <xf numFmtId="0" fontId="12" fillId="4" borderId="0" xfId="4" applyFont="1" applyFill="1" applyBorder="1" applyAlignment="1">
      <alignment wrapText="1"/>
    </xf>
    <xf numFmtId="0" fontId="12" fillId="4" borderId="1" xfId="4" applyFont="1" applyFill="1" applyBorder="1" applyAlignment="1">
      <alignment wrapText="1"/>
    </xf>
    <xf numFmtId="0" fontId="13" fillId="4" borderId="10" xfId="4" applyFont="1" applyFill="1" applyBorder="1" applyAlignment="1">
      <alignment wrapText="1"/>
    </xf>
    <xf numFmtId="0" fontId="13" fillId="4" borderId="0" xfId="4" applyFont="1" applyFill="1" applyBorder="1"/>
    <xf numFmtId="0" fontId="12" fillId="4" borderId="3" xfId="4" applyFont="1" applyFill="1" applyBorder="1" applyAlignment="1">
      <alignment wrapText="1"/>
    </xf>
    <xf numFmtId="0" fontId="12" fillId="4" borderId="3" xfId="4" applyFont="1" applyFill="1" applyBorder="1"/>
    <xf numFmtId="44" fontId="12" fillId="4" borderId="3" xfId="4" applyNumberFormat="1" applyFont="1" applyFill="1" applyBorder="1"/>
    <xf numFmtId="0" fontId="13" fillId="4" borderId="3" xfId="4" applyFont="1" applyFill="1" applyBorder="1"/>
    <xf numFmtId="0" fontId="13" fillId="4" borderId="3" xfId="4" applyFont="1" applyFill="1" applyBorder="1" applyAlignment="1">
      <alignment wrapText="1"/>
    </xf>
    <xf numFmtId="165" fontId="15" fillId="4" borderId="3" xfId="4" applyNumberFormat="1" applyFont="1" applyFill="1" applyBorder="1"/>
    <xf numFmtId="0" fontId="15" fillId="4" borderId="3" xfId="4" applyFont="1" applyFill="1" applyBorder="1"/>
    <xf numFmtId="3" fontId="0" fillId="0" borderId="3" xfId="0" applyNumberFormat="1" applyBorder="1" applyAlignment="1">
      <alignment horizontal="center"/>
    </xf>
    <xf numFmtId="165" fontId="0" fillId="5" borderId="3" xfId="0" applyNumberFormat="1" applyFill="1" applyBorder="1" applyAlignment="1">
      <alignment horizontal="center"/>
    </xf>
    <xf numFmtId="167" fontId="0" fillId="5" borderId="3" xfId="2" applyNumberFormat="1" applyFont="1" applyFill="1" applyBorder="1" applyAlignment="1">
      <alignment horizontal="center"/>
    </xf>
    <xf numFmtId="2" fontId="0" fillId="5" borderId="3" xfId="0" applyNumberFormat="1" applyFill="1" applyBorder="1" applyAlignment="1">
      <alignment horizontal="center"/>
    </xf>
    <xf numFmtId="10" fontId="0" fillId="5" borderId="3" xfId="0" applyNumberFormat="1" applyFill="1" applyBorder="1" applyAlignment="1">
      <alignment horizontal="center"/>
    </xf>
    <xf numFmtId="166" fontId="0" fillId="0" borderId="3" xfId="0" applyNumberFormat="1" applyBorder="1" applyAlignment="1">
      <alignment horizontal="center"/>
    </xf>
    <xf numFmtId="167" fontId="0" fillId="0" borderId="4" xfId="0" applyNumberFormat="1" applyBorder="1" applyAlignment="1">
      <alignment horizontal="center"/>
    </xf>
    <xf numFmtId="0" fontId="0" fillId="0" borderId="9" xfId="0" applyBorder="1" applyAlignment="1">
      <alignment horizontal="center"/>
    </xf>
    <xf numFmtId="10" fontId="0" fillId="0" borderId="14" xfId="0" applyNumberFormat="1" applyBorder="1" applyAlignment="1">
      <alignment horizontal="center"/>
    </xf>
    <xf numFmtId="0" fontId="2" fillId="0" borderId="15" xfId="0" applyFont="1" applyFill="1" applyBorder="1" applyAlignment="1">
      <alignment horizontal="center"/>
    </xf>
    <xf numFmtId="10" fontId="2" fillId="0" borderId="16" xfId="0" applyNumberFormat="1" applyFont="1" applyBorder="1" applyAlignment="1">
      <alignment horizontal="center"/>
    </xf>
    <xf numFmtId="0" fontId="0" fillId="0" borderId="4" xfId="0" applyBorder="1"/>
    <xf numFmtId="3" fontId="0" fillId="0" borderId="0" xfId="0" applyNumberForma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2" fillId="0" borderId="7"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xf numFmtId="0" fontId="13" fillId="0" borderId="1" xfId="0" applyFont="1" applyFill="1" applyBorder="1"/>
    <xf numFmtId="0" fontId="13" fillId="0" borderId="13" xfId="0" applyFont="1" applyFill="1" applyBorder="1"/>
    <xf numFmtId="0" fontId="13" fillId="0" borderId="10" xfId="0" applyFont="1" applyFill="1" applyBorder="1" applyAlignment="1">
      <alignment vertical="top" wrapText="1"/>
    </xf>
    <xf numFmtId="0" fontId="13" fillId="0" borderId="11" xfId="0" applyFont="1" applyFill="1" applyBorder="1" applyAlignment="1">
      <alignment vertical="top" wrapText="1"/>
    </xf>
    <xf numFmtId="0" fontId="13" fillId="0" borderId="0" xfId="0" applyFont="1" applyFill="1" applyBorder="1"/>
    <xf numFmtId="0" fontId="18" fillId="0" borderId="11" xfId="3" applyFont="1" applyFill="1" applyBorder="1" applyAlignment="1" applyProtection="1"/>
    <xf numFmtId="0" fontId="13" fillId="0" borderId="12" xfId="0" applyFont="1" applyFill="1" applyBorder="1"/>
    <xf numFmtId="0" fontId="12" fillId="0" borderId="9" xfId="0" applyFont="1" applyFill="1" applyBorder="1" applyAlignment="1">
      <alignment horizontal="center" wrapText="1"/>
    </xf>
    <xf numFmtId="0" fontId="13" fillId="0" borderId="1" xfId="0" applyFont="1" applyFill="1" applyBorder="1" applyAlignment="1">
      <alignment horizontal="center" vertical="top" wrapText="1"/>
    </xf>
    <xf numFmtId="0" fontId="12" fillId="0" borderId="14" xfId="0" applyFont="1" applyFill="1" applyBorder="1" applyAlignment="1">
      <alignment horizontal="center"/>
    </xf>
    <xf numFmtId="0" fontId="12" fillId="0" borderId="2" xfId="0" applyFont="1" applyFill="1" applyBorder="1" applyAlignment="1">
      <alignment horizontal="center" vertical="top" wrapText="1"/>
    </xf>
    <xf numFmtId="170" fontId="0" fillId="0" borderId="3" xfId="0" applyNumberFormat="1" applyBorder="1" applyAlignment="1">
      <alignment horizontal="center"/>
    </xf>
    <xf numFmtId="168" fontId="13" fillId="4" borderId="1" xfId="5" applyNumberFormat="1" applyFont="1" applyFill="1" applyBorder="1"/>
    <xf numFmtId="168" fontId="12" fillId="3" borderId="3" xfId="4" applyNumberFormat="1" applyFont="1" applyFill="1" applyBorder="1"/>
    <xf numFmtId="165" fontId="12" fillId="3" borderId="3" xfId="1" applyNumberFormat="1" applyFont="1" applyFill="1" applyBorder="1"/>
    <xf numFmtId="44" fontId="12" fillId="3" borderId="3" xfId="4" applyNumberFormat="1" applyFont="1" applyFill="1" applyBorder="1"/>
    <xf numFmtId="0" fontId="2" fillId="0" borderId="0" xfId="0" applyFont="1" applyFill="1" applyBorder="1"/>
    <xf numFmtId="0" fontId="2" fillId="0" borderId="3" xfId="0" applyFont="1" applyBorder="1" applyAlignment="1">
      <alignment wrapText="1"/>
    </xf>
    <xf numFmtId="0" fontId="2" fillId="0" borderId="14" xfId="0" applyFont="1" applyBorder="1" applyAlignment="1">
      <alignment horizontal="center" wrapText="1"/>
    </xf>
    <xf numFmtId="0" fontId="2" fillId="0" borderId="17" xfId="0" applyFont="1" applyBorder="1"/>
    <xf numFmtId="0" fontId="0" fillId="0" borderId="19" xfId="0" applyBorder="1"/>
    <xf numFmtId="2" fontId="2" fillId="3" borderId="17" xfId="0" applyNumberFormat="1" applyFont="1" applyFill="1" applyBorder="1" applyAlignment="1">
      <alignment horizontal="center"/>
    </xf>
    <xf numFmtId="0" fontId="0" fillId="0" borderId="14" xfId="0" applyBorder="1"/>
    <xf numFmtId="2" fontId="0" fillId="0" borderId="3" xfId="0" applyNumberFormat="1" applyFill="1" applyBorder="1" applyAlignment="1">
      <alignment horizontal="center"/>
    </xf>
    <xf numFmtId="3" fontId="0" fillId="0" borderId="14" xfId="0" applyNumberFormat="1" applyBorder="1" applyAlignment="1">
      <alignment horizontal="center"/>
    </xf>
    <xf numFmtId="0" fontId="0" fillId="0" borderId="14" xfId="0" applyBorder="1" applyAlignment="1">
      <alignment horizontal="center" wrapText="1"/>
    </xf>
    <xf numFmtId="0" fontId="2" fillId="0" borderId="14" xfId="0" applyFont="1" applyBorder="1" applyAlignment="1">
      <alignment horizontal="center"/>
    </xf>
    <xf numFmtId="6" fontId="13" fillId="0" borderId="0" xfId="0" applyNumberFormat="1" applyFont="1" applyFill="1" applyBorder="1" applyAlignment="1">
      <alignment horizontal="center" vertical="center" wrapText="1"/>
    </xf>
    <xf numFmtId="6" fontId="13" fillId="0" borderId="12" xfId="0" applyNumberFormat="1" applyFont="1" applyFill="1" applyBorder="1" applyAlignment="1">
      <alignment horizontal="center" vertical="center" wrapText="1"/>
    </xf>
    <xf numFmtId="0" fontId="2" fillId="0" borderId="14" xfId="0" applyFont="1" applyBorder="1" applyAlignment="1">
      <alignment wrapText="1"/>
    </xf>
    <xf numFmtId="0" fontId="2" fillId="0" borderId="14" xfId="0" applyFont="1" applyBorder="1"/>
    <xf numFmtId="0" fontId="2" fillId="0" borderId="19" xfId="0" applyFont="1" applyBorder="1"/>
    <xf numFmtId="0" fontId="12" fillId="0" borderId="0" xfId="0" applyFont="1" applyFill="1"/>
    <xf numFmtId="0" fontId="13" fillId="0" borderId="0" xfId="0" applyFont="1" applyFill="1"/>
    <xf numFmtId="2" fontId="13" fillId="0" borderId="0" xfId="0" applyNumberFormat="1" applyFont="1" applyFill="1"/>
    <xf numFmtId="0" fontId="19" fillId="0" borderId="0" xfId="0" applyFont="1" applyFill="1"/>
    <xf numFmtId="0" fontId="12" fillId="0" borderId="0" xfId="0" applyFont="1" applyFill="1" applyBorder="1"/>
    <xf numFmtId="0" fontId="20" fillId="0" borderId="0" xfId="3" applyFont="1" applyFill="1" applyBorder="1" applyAlignment="1" applyProtection="1"/>
    <xf numFmtId="44" fontId="15" fillId="0" borderId="0" xfId="1" applyFont="1" applyFill="1" applyBorder="1" applyAlignment="1"/>
    <xf numFmtId="0" fontId="12" fillId="0" borderId="3" xfId="0" applyFont="1" applyFill="1" applyBorder="1"/>
    <xf numFmtId="44" fontId="15" fillId="0" borderId="3" xfId="1" applyFont="1" applyFill="1" applyBorder="1" applyAlignment="1">
      <alignment horizontal="left"/>
    </xf>
    <xf numFmtId="44" fontId="15" fillId="0" borderId="3" xfId="1" applyFont="1" applyFill="1" applyBorder="1" applyAlignment="1">
      <alignment horizontal="center"/>
    </xf>
    <xf numFmtId="0" fontId="12" fillId="0" borderId="3" xfId="0" applyFont="1" applyFill="1" applyBorder="1" applyAlignment="1">
      <alignment horizontal="center"/>
    </xf>
    <xf numFmtId="7" fontId="13" fillId="0" borderId="3" xfId="1" applyNumberFormat="1" applyFont="1" applyFill="1" applyBorder="1" applyAlignment="1">
      <alignment horizontal="center"/>
    </xf>
    <xf numFmtId="0" fontId="0" fillId="0" borderId="1" xfId="0" applyFill="1" applyBorder="1" applyAlignment="1">
      <alignment horizontal="center"/>
    </xf>
    <xf numFmtId="0" fontId="2" fillId="3" borderId="15" xfId="0" applyFont="1" applyFill="1" applyBorder="1" applyAlignment="1">
      <alignment horizontal="center"/>
    </xf>
    <xf numFmtId="166" fontId="2" fillId="3" borderId="16" xfId="0" applyNumberFormat="1" applyFont="1" applyFill="1" applyBorder="1" applyAlignment="1">
      <alignment horizontal="center"/>
    </xf>
    <xf numFmtId="0" fontId="0" fillId="0" borderId="0" xfId="0" applyBorder="1"/>
    <xf numFmtId="165" fontId="2" fillId="3" borderId="17" xfId="0" applyNumberFormat="1" applyFont="1" applyFill="1" applyBorder="1" applyAlignment="1">
      <alignment horizontal="center"/>
    </xf>
    <xf numFmtId="6" fontId="12" fillId="3" borderId="17" xfId="0" applyNumberFormat="1" applyFont="1" applyFill="1" applyBorder="1" applyAlignment="1">
      <alignment horizontal="center" vertical="center"/>
    </xf>
    <xf numFmtId="6" fontId="12" fillId="3" borderId="18" xfId="0" applyNumberFormat="1" applyFont="1" applyFill="1" applyBorder="1" applyAlignment="1">
      <alignment horizontal="center" vertical="center"/>
    </xf>
    <xf numFmtId="0" fontId="2" fillId="3" borderId="16" xfId="0" applyFont="1" applyFill="1" applyBorder="1" applyAlignment="1">
      <alignment horizontal="center"/>
    </xf>
    <xf numFmtId="0" fontId="2" fillId="3" borderId="17" xfId="0" applyFont="1" applyFill="1" applyBorder="1" applyAlignment="1">
      <alignment horizontal="center"/>
    </xf>
    <xf numFmtId="3" fontId="2" fillId="3" borderId="17" xfId="0" applyNumberFormat="1" applyFont="1" applyFill="1" applyBorder="1" applyAlignment="1">
      <alignment horizontal="center"/>
    </xf>
    <xf numFmtId="9" fontId="2" fillId="3" borderId="28" xfId="0" applyNumberFormat="1" applyFont="1" applyFill="1" applyBorder="1" applyAlignment="1">
      <alignment horizontal="center"/>
    </xf>
    <xf numFmtId="9" fontId="2" fillId="3" borderId="23" xfId="0" applyNumberFormat="1" applyFont="1" applyFill="1" applyBorder="1" applyAlignment="1">
      <alignment horizontal="center"/>
    </xf>
    <xf numFmtId="9" fontId="2" fillId="3" borderId="24" xfId="0" applyNumberFormat="1" applyFont="1" applyFill="1" applyBorder="1" applyAlignment="1">
      <alignment horizontal="center"/>
    </xf>
    <xf numFmtId="170" fontId="2" fillId="3" borderId="16" xfId="0" applyNumberFormat="1" applyFont="1" applyFill="1" applyBorder="1" applyAlignment="1">
      <alignment horizontal="center"/>
    </xf>
    <xf numFmtId="0" fontId="2" fillId="0" borderId="27" xfId="0" applyFont="1" applyBorder="1"/>
    <xf numFmtId="0" fontId="2" fillId="0" borderId="26" xfId="0" applyFont="1" applyBorder="1"/>
    <xf numFmtId="0" fontId="2" fillId="0" borderId="0" xfId="0" applyFont="1" applyAlignment="1">
      <alignment horizontal="center"/>
    </xf>
    <xf numFmtId="0" fontId="2" fillId="0" borderId="27" xfId="0" applyFont="1" applyBorder="1" applyAlignment="1">
      <alignment horizontal="center"/>
    </xf>
    <xf numFmtId="10" fontId="2" fillId="3" borderId="17" xfId="0" applyNumberFormat="1" applyFont="1" applyFill="1" applyBorder="1" applyAlignment="1">
      <alignment horizontal="center" wrapText="1"/>
    </xf>
    <xf numFmtId="2" fontId="2" fillId="0" borderId="25" xfId="0" applyNumberFormat="1" applyFont="1" applyBorder="1" applyAlignment="1">
      <alignment horizontal="center"/>
    </xf>
    <xf numFmtId="2" fontId="2" fillId="0" borderId="26" xfId="0" applyNumberFormat="1"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3" xfId="0" applyBorder="1" applyAlignment="1">
      <alignment horizontal="center"/>
    </xf>
    <xf numFmtId="0" fontId="21" fillId="0" borderId="0" xfId="0" applyFont="1" applyFill="1" applyBorder="1" applyAlignment="1">
      <alignment horizontal="center"/>
    </xf>
    <xf numFmtId="0" fontId="13" fillId="0" borderId="0" xfId="0" applyFont="1" applyFill="1" applyBorder="1" applyAlignment="1">
      <alignment horizontal="center"/>
    </xf>
    <xf numFmtId="7" fontId="13" fillId="0" borderId="0" xfId="5" applyNumberFormat="1" applyFont="1" applyFill="1" applyBorder="1" applyAlignment="1">
      <alignment horizontal="center"/>
    </xf>
    <xf numFmtId="7" fontId="12" fillId="0" borderId="0" xfId="5" applyNumberFormat="1" applyFont="1" applyFill="1" applyBorder="1" applyAlignment="1">
      <alignment horizontal="center"/>
    </xf>
    <xf numFmtId="7" fontId="13" fillId="0" borderId="0" xfId="1" applyNumberFormat="1" applyFont="1" applyFill="1" applyBorder="1" applyAlignment="1">
      <alignment horizontal="center"/>
    </xf>
    <xf numFmtId="0" fontId="3" fillId="0" borderId="0" xfId="0" applyFont="1" applyFill="1" applyBorder="1"/>
    <xf numFmtId="44" fontId="22" fillId="0" borderId="0" xfId="1" applyFont="1" applyFill="1" applyBorder="1" applyAlignment="1"/>
    <xf numFmtId="0" fontId="0" fillId="0" borderId="0" xfId="0" applyFont="1" applyBorder="1" applyAlignment="1">
      <alignment horizontal="center"/>
    </xf>
    <xf numFmtId="2" fontId="0" fillId="0" borderId="0" xfId="0" applyNumberFormat="1" applyFont="1" applyBorder="1" applyAlignment="1">
      <alignment horizontal="center"/>
    </xf>
    <xf numFmtId="0" fontId="2" fillId="0" borderId="0" xfId="0" applyFont="1" applyAlignment="1">
      <alignment horizontal="left"/>
    </xf>
    <xf numFmtId="174" fontId="6" fillId="0" borderId="3" xfId="0" applyNumberFormat="1" applyFont="1" applyBorder="1" applyAlignment="1">
      <alignment horizontal="center" vertical="center"/>
    </xf>
    <xf numFmtId="0" fontId="9" fillId="0" borderId="0" xfId="0" applyFont="1" applyFill="1" applyBorder="1" applyAlignment="1">
      <alignment horizontal="center" vertical="center" wrapText="1"/>
    </xf>
    <xf numFmtId="6" fontId="0" fillId="0" borderId="0" xfId="0" applyNumberFormat="1" applyFont="1" applyBorder="1" applyAlignment="1">
      <alignment horizontal="center" vertical="center"/>
    </xf>
    <xf numFmtId="3" fontId="2" fillId="0" borderId="0" xfId="0" applyNumberFormat="1" applyFont="1" applyAlignment="1">
      <alignment horizontal="center"/>
    </xf>
    <xf numFmtId="0" fontId="0" fillId="0" borderId="7" xfId="0" applyBorder="1"/>
    <xf numFmtId="0" fontId="0" fillId="0" borderId="10" xfId="0" applyBorder="1"/>
    <xf numFmtId="0" fontId="0" fillId="0" borderId="11" xfId="0" applyBorder="1"/>
    <xf numFmtId="165" fontId="0" fillId="0" borderId="2" xfId="0" applyNumberFormat="1" applyFill="1" applyBorder="1" applyAlignment="1">
      <alignment horizontal="center"/>
    </xf>
    <xf numFmtId="0" fontId="0" fillId="0" borderId="2" xfId="0" applyBorder="1" applyAlignment="1">
      <alignment horizontal="center"/>
    </xf>
    <xf numFmtId="2" fontId="0" fillId="0" borderId="14" xfId="0" applyNumberFormat="1" applyFill="1" applyBorder="1" applyAlignment="1">
      <alignment horizontal="center"/>
    </xf>
    <xf numFmtId="2" fontId="0" fillId="0" borderId="2" xfId="0" applyNumberFormat="1" applyFill="1" applyBorder="1" applyAlignment="1">
      <alignment horizontal="center"/>
    </xf>
    <xf numFmtId="164" fontId="0" fillId="0" borderId="2" xfId="0" applyNumberFormat="1" applyFill="1" applyBorder="1" applyAlignment="1">
      <alignment horizontal="center"/>
    </xf>
    <xf numFmtId="164" fontId="0" fillId="0" borderId="19" xfId="0" applyNumberFormat="1" applyFill="1" applyBorder="1" applyAlignment="1">
      <alignment horizontal="center"/>
    </xf>
    <xf numFmtId="0" fontId="3" fillId="0" borderId="10" xfId="0" applyFont="1" applyFill="1" applyBorder="1" applyAlignment="1">
      <alignment vertical="top" wrapText="1"/>
    </xf>
    <xf numFmtId="0" fontId="3" fillId="0" borderId="11" xfId="0" applyFont="1" applyFill="1" applyBorder="1" applyAlignment="1">
      <alignment vertical="top" wrapText="1"/>
    </xf>
    <xf numFmtId="164" fontId="0" fillId="0" borderId="2" xfId="0" applyNumberFormat="1" applyBorder="1" applyAlignment="1">
      <alignment horizontal="center"/>
    </xf>
    <xf numFmtId="175" fontId="0" fillId="0" borderId="2" xfId="0" applyNumberFormat="1" applyBorder="1" applyAlignment="1">
      <alignment horizontal="center"/>
    </xf>
    <xf numFmtId="174" fontId="0" fillId="0" borderId="19" xfId="0" applyNumberFormat="1" applyBorder="1" applyAlignment="1">
      <alignment horizontal="center"/>
    </xf>
    <xf numFmtId="166" fontId="0" fillId="0" borderId="14" xfId="0" applyNumberFormat="1" applyFill="1" applyBorder="1" applyAlignment="1">
      <alignment horizontal="center"/>
    </xf>
    <xf numFmtId="166" fontId="0" fillId="0" borderId="2" xfId="0" applyNumberFormat="1" applyFill="1" applyBorder="1" applyAlignment="1">
      <alignment horizontal="center"/>
    </xf>
    <xf numFmtId="174" fontId="0" fillId="0" borderId="2" xfId="0" applyNumberFormat="1" applyBorder="1" applyAlignment="1">
      <alignment horizontal="center"/>
    </xf>
    <xf numFmtId="0" fontId="0" fillId="6" borderId="0" xfId="0" applyFill="1"/>
    <xf numFmtId="0" fontId="0" fillId="6" borderId="0" xfId="0" applyFill="1" applyBorder="1" applyAlignment="1">
      <alignment horizontal="center" wrapText="1"/>
    </xf>
    <xf numFmtId="3" fontId="0" fillId="9" borderId="0" xfId="0" applyNumberFormat="1" applyFill="1" applyAlignment="1">
      <alignment horizontal="center"/>
    </xf>
    <xf numFmtId="3" fontId="0" fillId="11" borderId="0" xfId="0" applyNumberFormat="1" applyFill="1" applyAlignment="1">
      <alignment horizontal="center"/>
    </xf>
    <xf numFmtId="0" fontId="2" fillId="9" borderId="0" xfId="0" applyFont="1" applyFill="1"/>
    <xf numFmtId="0" fontId="2" fillId="11" borderId="0" xfId="0" applyFont="1" applyFill="1"/>
    <xf numFmtId="0" fontId="2" fillId="6" borderId="0" xfId="0" applyFont="1" applyFill="1" applyAlignment="1">
      <alignment horizontal="center"/>
    </xf>
    <xf numFmtId="3" fontId="0" fillId="9" borderId="0" xfId="0" applyNumberFormat="1" applyFont="1" applyFill="1" applyAlignment="1">
      <alignment horizontal="center"/>
    </xf>
    <xf numFmtId="3" fontId="0" fillId="11" borderId="0" xfId="0" applyNumberFormat="1" applyFont="1" applyFill="1" applyAlignment="1">
      <alignment horizontal="center"/>
    </xf>
    <xf numFmtId="3" fontId="0" fillId="13" borderId="0" xfId="0" applyNumberFormat="1" applyFont="1" applyFill="1" applyAlignment="1">
      <alignment horizontal="center"/>
    </xf>
    <xf numFmtId="0" fontId="24" fillId="14" borderId="0" xfId="0" applyFont="1" applyFill="1"/>
    <xf numFmtId="0" fontId="24" fillId="14" borderId="0" xfId="0" applyFont="1" applyFill="1" applyAlignment="1">
      <alignment horizontal="center"/>
    </xf>
    <xf numFmtId="0" fontId="25" fillId="14" borderId="0" xfId="0" applyFont="1" applyFill="1"/>
    <xf numFmtId="0" fontId="23" fillId="14" borderId="0" xfId="0" applyFont="1" applyFill="1" applyAlignment="1">
      <alignment horizontal="right"/>
    </xf>
    <xf numFmtId="0" fontId="23" fillId="14" borderId="0" xfId="0" applyFont="1" applyFill="1" applyAlignment="1">
      <alignment horizontal="center"/>
    </xf>
    <xf numFmtId="0" fontId="23" fillId="14" borderId="0" xfId="0" applyFont="1" applyFill="1" applyAlignment="1">
      <alignment horizontal="center" wrapText="1"/>
    </xf>
    <xf numFmtId="0" fontId="0" fillId="14" borderId="0" xfId="0" applyFill="1"/>
    <xf numFmtId="164" fontId="0" fillId="13" borderId="0" xfId="0" applyNumberFormat="1" applyFont="1" applyFill="1" applyAlignment="1">
      <alignment horizontal="center"/>
    </xf>
    <xf numFmtId="175" fontId="0" fillId="0" borderId="19" xfId="0" applyNumberFormat="1" applyBorder="1" applyAlignment="1">
      <alignment horizontal="center"/>
    </xf>
    <xf numFmtId="0" fontId="0" fillId="8" borderId="0" xfId="0" applyFill="1"/>
    <xf numFmtId="0" fontId="0" fillId="9" borderId="0" xfId="0" applyFill="1"/>
    <xf numFmtId="164" fontId="0" fillId="9" borderId="0" xfId="0" applyNumberFormat="1" applyFill="1" applyAlignment="1">
      <alignment horizontal="center"/>
    </xf>
    <xf numFmtId="164" fontId="0" fillId="0" borderId="0" xfId="0" applyNumberFormat="1" applyAlignment="1">
      <alignment horizontal="center"/>
    </xf>
    <xf numFmtId="0" fontId="23" fillId="14" borderId="0" xfId="0" applyFont="1" applyFill="1"/>
    <xf numFmtId="0" fontId="0" fillId="11" borderId="0" xfId="0" applyFill="1"/>
    <xf numFmtId="0" fontId="23" fillId="7" borderId="0" xfId="0" applyFont="1" applyFill="1"/>
    <xf numFmtId="3" fontId="23" fillId="7" borderId="0" xfId="0" applyNumberFormat="1" applyFont="1" applyFill="1" applyAlignment="1">
      <alignment horizontal="center"/>
    </xf>
    <xf numFmtId="164" fontId="0" fillId="11" borderId="0" xfId="0" applyNumberFormat="1" applyFill="1" applyAlignment="1">
      <alignment horizontal="center"/>
    </xf>
    <xf numFmtId="164" fontId="2" fillId="9" borderId="0" xfId="0" applyNumberFormat="1" applyFont="1" applyFill="1" applyAlignment="1">
      <alignment horizontal="center"/>
    </xf>
    <xf numFmtId="3" fontId="0" fillId="6" borderId="0" xfId="0" applyNumberFormat="1" applyFill="1" applyAlignment="1">
      <alignment horizontal="center"/>
    </xf>
    <xf numFmtId="164" fontId="0" fillId="6" borderId="0" xfId="0" applyNumberFormat="1" applyFill="1" applyAlignment="1">
      <alignment horizontal="center"/>
    </xf>
    <xf numFmtId="9" fontId="9" fillId="17" borderId="17" xfId="0" applyNumberFormat="1" applyFont="1" applyFill="1" applyBorder="1" applyAlignment="1">
      <alignment horizontal="center"/>
    </xf>
    <xf numFmtId="3" fontId="0" fillId="14" borderId="0" xfId="0" applyNumberFormat="1" applyFill="1" applyAlignment="1">
      <alignment horizontal="center"/>
    </xf>
    <xf numFmtId="0" fontId="0" fillId="0" borderId="35" xfId="0" applyBorder="1"/>
    <xf numFmtId="3" fontId="0" fillId="0" borderId="34" xfId="0" applyNumberFormat="1" applyBorder="1" applyAlignment="1">
      <alignment horizontal="center"/>
    </xf>
    <xf numFmtId="0" fontId="0" fillId="0" borderId="36" xfId="0" applyBorder="1"/>
    <xf numFmtId="164" fontId="23" fillId="14" borderId="0" xfId="0" applyNumberFormat="1" applyFont="1" applyFill="1" applyAlignment="1">
      <alignment horizontal="center"/>
    </xf>
    <xf numFmtId="176" fontId="23" fillId="14" borderId="0" xfId="0" applyNumberFormat="1" applyFont="1" applyFill="1" applyAlignment="1">
      <alignment horizontal="center"/>
    </xf>
    <xf numFmtId="0" fontId="2" fillId="0" borderId="14" xfId="0" applyFont="1" applyBorder="1" applyAlignment="1">
      <alignment horizontal="center" wrapText="1"/>
    </xf>
    <xf numFmtId="0" fontId="2" fillId="0" borderId="3" xfId="0" applyFont="1" applyBorder="1" applyAlignment="1">
      <alignment horizontal="center" wrapText="1"/>
    </xf>
    <xf numFmtId="3" fontId="0" fillId="0" borderId="0" xfId="0" applyNumberFormat="1"/>
    <xf numFmtId="164" fontId="2" fillId="11" borderId="0" xfId="0" applyNumberFormat="1" applyFont="1" applyFill="1" applyAlignment="1">
      <alignment horizontal="center"/>
    </xf>
    <xf numFmtId="0" fontId="12" fillId="0" borderId="40"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1" xfId="0" applyFont="1" applyBorder="1" applyAlignment="1">
      <alignment horizontal="center" wrapText="1"/>
    </xf>
    <xf numFmtId="0" fontId="26" fillId="0" borderId="42" xfId="0" applyFont="1" applyBorder="1" applyAlignment="1">
      <alignment vertical="center" wrapText="1"/>
    </xf>
    <xf numFmtId="2" fontId="26" fillId="0" borderId="19" xfId="0" applyNumberFormat="1" applyFont="1" applyBorder="1" applyAlignment="1">
      <alignment horizontal="center" vertical="center" wrapText="1"/>
    </xf>
    <xf numFmtId="2" fontId="0" fillId="0" borderId="19" xfId="0" applyNumberFormat="1" applyBorder="1" applyAlignment="1">
      <alignment horizontal="center"/>
    </xf>
    <xf numFmtId="0" fontId="26" fillId="3" borderId="43" xfId="0" applyFont="1" applyFill="1" applyBorder="1" applyAlignment="1">
      <alignment vertical="center" wrapText="1"/>
    </xf>
    <xf numFmtId="2" fontId="0" fillId="0" borderId="2" xfId="0" applyNumberFormat="1" applyBorder="1" applyAlignment="1">
      <alignment horizontal="center"/>
    </xf>
    <xf numFmtId="0" fontId="26" fillId="0" borderId="43" xfId="0" applyFont="1" applyFill="1" applyBorder="1" applyAlignment="1">
      <alignment vertical="center" wrapText="1"/>
    </xf>
    <xf numFmtId="2" fontId="26" fillId="0" borderId="3" xfId="0" applyNumberFormat="1" applyFont="1" applyFill="1" applyBorder="1" applyAlignment="1">
      <alignment horizontal="center" vertical="center" wrapText="1"/>
    </xf>
    <xf numFmtId="2" fontId="0" fillId="0" borderId="19" xfId="0" applyNumberFormat="1" applyFill="1" applyBorder="1" applyAlignment="1">
      <alignment horizontal="center"/>
    </xf>
    <xf numFmtId="177" fontId="0" fillId="0" borderId="14" xfId="0" applyNumberFormat="1" applyBorder="1" applyAlignment="1">
      <alignment horizontal="center"/>
    </xf>
    <xf numFmtId="177" fontId="0" fillId="0" borderId="19" xfId="0" applyNumberFormat="1" applyBorder="1" applyAlignment="1">
      <alignment horizontal="center"/>
    </xf>
    <xf numFmtId="2" fontId="13" fillId="3" borderId="4" xfId="0" applyNumberFormat="1" applyFont="1" applyFill="1" applyBorder="1" applyAlignment="1">
      <alignment horizontal="center" vertical="center" wrapText="1"/>
    </xf>
    <xf numFmtId="2" fontId="9" fillId="3" borderId="17" xfId="0" applyNumberFormat="1" applyFont="1" applyFill="1" applyBorder="1" applyAlignment="1">
      <alignment horizontal="center"/>
    </xf>
    <xf numFmtId="0" fontId="26" fillId="0" borderId="44" xfId="0" applyFont="1" applyBorder="1" applyAlignment="1">
      <alignment vertical="center" wrapText="1"/>
    </xf>
    <xf numFmtId="2" fontId="26" fillId="0" borderId="2" xfId="0" applyNumberFormat="1" applyFont="1" applyBorder="1" applyAlignment="1">
      <alignment horizontal="center" vertical="center" wrapText="1"/>
    </xf>
    <xf numFmtId="0" fontId="27" fillId="3" borderId="27" xfId="0" applyFont="1" applyFill="1" applyBorder="1" applyAlignment="1">
      <alignment vertical="center" wrapText="1"/>
    </xf>
    <xf numFmtId="2" fontId="27" fillId="3" borderId="16" xfId="0" applyNumberFormat="1" applyFont="1" applyFill="1" applyBorder="1" applyAlignment="1">
      <alignment horizontal="center" vertical="center" wrapText="1"/>
    </xf>
    <xf numFmtId="0" fontId="0" fillId="0" borderId="3" xfId="0" applyBorder="1" applyAlignment="1">
      <alignment horizontal="center"/>
    </xf>
    <xf numFmtId="0" fontId="28" fillId="18" borderId="25" xfId="0" applyFont="1" applyFill="1" applyBorder="1" applyAlignment="1">
      <alignment vertical="center"/>
    </xf>
    <xf numFmtId="0" fontId="28" fillId="18" borderId="17" xfId="0" applyFont="1" applyFill="1" applyBorder="1" applyAlignment="1">
      <alignment horizontal="center" vertical="center" wrapText="1"/>
    </xf>
    <xf numFmtId="0" fontId="28" fillId="18" borderId="27" xfId="0" applyFont="1" applyFill="1" applyBorder="1" applyAlignment="1">
      <alignment vertical="center"/>
    </xf>
    <xf numFmtId="0" fontId="28" fillId="18" borderId="26" xfId="0" applyFont="1" applyFill="1" applyBorder="1" applyAlignment="1">
      <alignment vertical="center"/>
    </xf>
    <xf numFmtId="0" fontId="29" fillId="0" borderId="0" xfId="0" applyFont="1" applyFill="1" applyBorder="1" applyAlignment="1">
      <alignment vertical="center"/>
    </xf>
    <xf numFmtId="164" fontId="0" fillId="0" borderId="0" xfId="0" applyNumberFormat="1" applyFill="1" applyBorder="1" applyAlignment="1">
      <alignment horizontal="center"/>
    </xf>
    <xf numFmtId="3" fontId="10" fillId="0" borderId="0" xfId="0" applyNumberFormat="1" applyFont="1"/>
    <xf numFmtId="3" fontId="10" fillId="0" borderId="0" xfId="0" applyNumberFormat="1" applyFont="1" applyAlignment="1">
      <alignment horizontal="center"/>
    </xf>
    <xf numFmtId="3" fontId="0" fillId="13" borderId="0" xfId="0" applyNumberFormat="1" applyFill="1" applyBorder="1" applyAlignment="1">
      <alignment horizontal="center"/>
    </xf>
    <xf numFmtId="3" fontId="0" fillId="12" borderId="8" xfId="0" applyNumberFormat="1" applyFill="1" applyBorder="1" applyAlignment="1">
      <alignment horizontal="center"/>
    </xf>
    <xf numFmtId="3" fontId="0" fillId="12" borderId="0" xfId="0" applyNumberFormat="1" applyFill="1" applyBorder="1" applyAlignment="1">
      <alignment horizontal="center"/>
    </xf>
    <xf numFmtId="3" fontId="0" fillId="21" borderId="0" xfId="0" applyNumberFormat="1" applyFill="1" applyBorder="1" applyAlignment="1">
      <alignment horizontal="center"/>
    </xf>
    <xf numFmtId="0" fontId="30" fillId="19" borderId="29" xfId="0" applyFont="1" applyFill="1" applyBorder="1" applyAlignment="1">
      <alignment vertical="center"/>
    </xf>
    <xf numFmtId="0" fontId="30" fillId="19" borderId="45" xfId="0" applyFont="1" applyFill="1" applyBorder="1" applyAlignment="1">
      <alignment horizontal="center" vertical="center"/>
    </xf>
    <xf numFmtId="0" fontId="30" fillId="19" borderId="30" xfId="0" applyFont="1" applyFill="1" applyBorder="1" applyAlignment="1">
      <alignment horizontal="center" vertical="center"/>
    </xf>
    <xf numFmtId="0" fontId="0" fillId="13" borderId="3" xfId="0" applyFill="1" applyBorder="1" applyAlignment="1">
      <alignment horizontal="right"/>
    </xf>
    <xf numFmtId="164" fontId="0" fillId="13" borderId="3" xfId="0" applyNumberFormat="1" applyFill="1" applyBorder="1" applyAlignment="1">
      <alignment horizontal="center"/>
    </xf>
    <xf numFmtId="0" fontId="0" fillId="0" borderId="3" xfId="0" applyFont="1" applyFill="1" applyBorder="1"/>
    <xf numFmtId="0" fontId="0" fillId="0" borderId="4" xfId="0" applyFont="1" applyFill="1" applyBorder="1" applyAlignment="1">
      <alignment horizontal="center"/>
    </xf>
    <xf numFmtId="2" fontId="3" fillId="0" borderId="3" xfId="0" applyNumberFormat="1" applyFont="1" applyFill="1" applyBorder="1" applyAlignment="1">
      <alignment horizontal="center"/>
    </xf>
    <xf numFmtId="0" fontId="13" fillId="3" borderId="46" xfId="0" applyFont="1" applyFill="1" applyBorder="1" applyAlignment="1">
      <alignment vertical="center" wrapText="1"/>
    </xf>
    <xf numFmtId="0" fontId="13" fillId="3" borderId="3" xfId="0" applyFont="1" applyFill="1" applyBorder="1" applyAlignment="1">
      <alignment vertical="center" wrapText="1"/>
    </xf>
    <xf numFmtId="2" fontId="13" fillId="3" borderId="3" xfId="0" applyNumberFormat="1" applyFont="1" applyFill="1" applyBorder="1" applyAlignment="1">
      <alignment horizontal="center" vertical="center" wrapText="1"/>
    </xf>
    <xf numFmtId="2" fontId="26" fillId="0" borderId="14" xfId="0" applyNumberFormat="1" applyFont="1" applyFill="1" applyBorder="1" applyAlignment="1">
      <alignment horizontal="center" vertical="center" wrapText="1"/>
    </xf>
    <xf numFmtId="2" fontId="26" fillId="3" borderId="3" xfId="0" applyNumberFormat="1" applyFont="1" applyFill="1" applyBorder="1" applyAlignment="1">
      <alignment horizontal="center" vertical="center" wrapText="1"/>
    </xf>
    <xf numFmtId="2" fontId="0" fillId="3" borderId="3" xfId="0" applyNumberFormat="1" applyFill="1" applyBorder="1" applyAlignment="1">
      <alignment horizontal="center"/>
    </xf>
    <xf numFmtId="2" fontId="3" fillId="3" borderId="14" xfId="0" applyNumberFormat="1" applyFont="1" applyFill="1" applyBorder="1" applyAlignment="1">
      <alignment horizontal="center"/>
    </xf>
    <xf numFmtId="0" fontId="0" fillId="0" borderId="47" xfId="0" applyBorder="1"/>
    <xf numFmtId="0" fontId="0" fillId="0" borderId="34" xfId="0" applyBorder="1"/>
    <xf numFmtId="165" fontId="0" fillId="0" borderId="52" xfId="0" applyNumberFormat="1" applyBorder="1" applyAlignment="1">
      <alignment horizontal="center"/>
    </xf>
    <xf numFmtId="0" fontId="0" fillId="0" borderId="53" xfId="0" applyBorder="1" applyAlignment="1">
      <alignment horizontal="center"/>
    </xf>
    <xf numFmtId="0" fontId="0" fillId="0" borderId="54" xfId="0" applyBorder="1"/>
    <xf numFmtId="0" fontId="2" fillId="0" borderId="55" xfId="0" applyFont="1" applyBorder="1"/>
    <xf numFmtId="165" fontId="0" fillId="0" borderId="34" xfId="0" applyNumberFormat="1" applyBorder="1" applyAlignment="1">
      <alignment horizontal="center"/>
    </xf>
    <xf numFmtId="165" fontId="0" fillId="0" borderId="51" xfId="0" applyNumberFormat="1" applyBorder="1" applyAlignment="1">
      <alignment horizontal="center"/>
    </xf>
    <xf numFmtId="165" fontId="0" fillId="0" borderId="53" xfId="0" applyNumberFormat="1" applyBorder="1" applyAlignment="1">
      <alignment horizontal="center"/>
    </xf>
    <xf numFmtId="0" fontId="0" fillId="0" borderId="37" xfId="0" applyBorder="1" applyAlignment="1">
      <alignment horizontal="center"/>
    </xf>
    <xf numFmtId="0" fontId="0" fillId="0" borderId="56" xfId="0" applyBorder="1" applyAlignment="1">
      <alignment horizontal="center"/>
    </xf>
    <xf numFmtId="0" fontId="2" fillId="0" borderId="37" xfId="0" applyFont="1" applyBorder="1" applyAlignment="1">
      <alignment horizontal="center"/>
    </xf>
    <xf numFmtId="165" fontId="0" fillId="0" borderId="55" xfId="0" applyNumberFormat="1" applyBorder="1" applyAlignment="1">
      <alignment horizontal="center"/>
    </xf>
    <xf numFmtId="165" fontId="0" fillId="0" borderId="58" xfId="0" applyNumberFormat="1" applyFill="1" applyBorder="1" applyAlignment="1">
      <alignment horizontal="center"/>
    </xf>
    <xf numFmtId="165" fontId="0" fillId="0" borderId="7" xfId="0" applyNumberFormat="1" applyBorder="1" applyAlignment="1">
      <alignment horizontal="center"/>
    </xf>
    <xf numFmtId="0" fontId="2" fillId="0" borderId="10" xfId="0" applyFont="1" applyBorder="1" applyAlignment="1">
      <alignment horizontal="center"/>
    </xf>
    <xf numFmtId="0" fontId="0" fillId="0" borderId="51" xfId="0" applyBorder="1" applyAlignment="1">
      <alignment horizontal="center"/>
    </xf>
    <xf numFmtId="165" fontId="0" fillId="0" borderId="37" xfId="0" applyNumberFormat="1" applyBorder="1" applyAlignment="1">
      <alignment horizontal="center"/>
    </xf>
    <xf numFmtId="165" fontId="0" fillId="0" borderId="11" xfId="0" applyNumberForma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0" borderId="16" xfId="0" applyFont="1" applyBorder="1" applyAlignment="1">
      <alignment horizontal="center"/>
    </xf>
    <xf numFmtId="165" fontId="0" fillId="0" borderId="57" xfId="0" applyNumberFormat="1" applyFont="1" applyFill="1" applyBorder="1" applyAlignment="1">
      <alignment horizontal="center"/>
    </xf>
    <xf numFmtId="165" fontId="0" fillId="0" borderId="47" xfId="0" applyNumberFormat="1" applyBorder="1" applyAlignment="1">
      <alignment horizontal="center"/>
    </xf>
    <xf numFmtId="165" fontId="0" fillId="0" borderId="49" xfId="0" applyNumberFormat="1" applyFont="1" applyFill="1" applyBorder="1" applyAlignment="1">
      <alignment horizontal="center"/>
    </xf>
    <xf numFmtId="165" fontId="2" fillId="3" borderId="27" xfId="0" applyNumberFormat="1" applyFont="1" applyFill="1" applyBorder="1" applyAlignment="1">
      <alignment horizontal="center"/>
    </xf>
    <xf numFmtId="0" fontId="31" fillId="0" borderId="0" xfId="0" applyFont="1"/>
    <xf numFmtId="0" fontId="2" fillId="0" borderId="18" xfId="0" applyFont="1" applyBorder="1"/>
    <xf numFmtId="164" fontId="2" fillId="3" borderId="18" xfId="0" applyNumberFormat="1" applyFont="1" applyFill="1" applyBorder="1" applyAlignment="1">
      <alignment horizontal="center"/>
    </xf>
    <xf numFmtId="0" fontId="0" fillId="0" borderId="22" xfId="0" applyBorder="1"/>
    <xf numFmtId="164" fontId="0" fillId="0" borderId="3" xfId="0" applyNumberFormat="1" applyBorder="1" applyAlignment="1">
      <alignment horizontal="center"/>
    </xf>
    <xf numFmtId="0" fontId="0" fillId="0" borderId="48" xfId="0" applyBorder="1"/>
    <xf numFmtId="0" fontId="0" fillId="0" borderId="49" xfId="0" applyBorder="1"/>
    <xf numFmtId="164" fontId="0" fillId="0" borderId="50" xfId="0" applyNumberFormat="1" applyBorder="1" applyAlignment="1">
      <alignment horizontal="center"/>
    </xf>
    <xf numFmtId="3" fontId="0" fillId="0" borderId="50" xfId="0" applyNumberFormat="1" applyBorder="1" applyAlignment="1">
      <alignment horizontal="center"/>
    </xf>
    <xf numFmtId="0" fontId="0" fillId="0" borderId="61" xfId="0" applyBorder="1"/>
    <xf numFmtId="0" fontId="0" fillId="0" borderId="62" xfId="0" applyBorder="1"/>
    <xf numFmtId="0" fontId="0" fillId="0" borderId="60" xfId="0" applyBorder="1"/>
    <xf numFmtId="0" fontId="0" fillId="0" borderId="55" xfId="0" applyBorder="1"/>
    <xf numFmtId="164" fontId="0" fillId="0" borderId="34" xfId="0" applyNumberFormat="1" applyBorder="1" applyAlignment="1">
      <alignment horizontal="center"/>
    </xf>
    <xf numFmtId="164" fontId="0" fillId="0" borderId="48" xfId="0" applyNumberFormat="1" applyBorder="1" applyAlignment="1">
      <alignment horizontal="center"/>
    </xf>
    <xf numFmtId="164" fontId="0" fillId="0" borderId="49" xfId="0" applyNumberFormat="1" applyBorder="1" applyAlignment="1">
      <alignment horizontal="center"/>
    </xf>
    <xf numFmtId="0" fontId="0" fillId="0" borderId="51" xfId="0" applyFill="1" applyBorder="1"/>
    <xf numFmtId="3" fontId="0" fillId="0" borderId="52" xfId="0" applyNumberFormat="1" applyFill="1" applyBorder="1" applyAlignment="1">
      <alignment horizontal="center"/>
    </xf>
    <xf numFmtId="0" fontId="0" fillId="0" borderId="53" xfId="0" applyBorder="1"/>
    <xf numFmtId="0" fontId="2" fillId="0" borderId="0" xfId="0" applyFont="1" applyAlignment="1">
      <alignment horizontal="center"/>
    </xf>
    <xf numFmtId="0" fontId="2" fillId="0" borderId="3" xfId="0" applyFont="1" applyBorder="1" applyAlignment="1">
      <alignment horizontal="center"/>
    </xf>
    <xf numFmtId="3" fontId="2" fillId="12" borderId="0" xfId="0" applyNumberFormat="1" applyFont="1" applyFill="1" applyBorder="1" applyAlignment="1">
      <alignment horizontal="center"/>
    </xf>
    <xf numFmtId="3" fontId="2" fillId="13" borderId="0" xfId="0" applyNumberFormat="1" applyFont="1" applyFill="1" applyBorder="1" applyAlignment="1">
      <alignment horizontal="center"/>
    </xf>
    <xf numFmtId="3" fontId="0" fillId="13" borderId="8" xfId="0" applyNumberFormat="1" applyFont="1" applyFill="1" applyBorder="1" applyAlignment="1">
      <alignment horizontal="center"/>
    </xf>
    <xf numFmtId="3" fontId="0" fillId="13" borderId="0" xfId="0" applyNumberFormat="1" applyFont="1" applyFill="1" applyBorder="1" applyAlignment="1">
      <alignment horizontal="center"/>
    </xf>
    <xf numFmtId="0" fontId="0" fillId="0" borderId="0" xfId="0" applyFill="1" applyBorder="1"/>
    <xf numFmtId="0" fontId="28" fillId="0" borderId="27" xfId="0" applyFont="1" applyFill="1" applyBorder="1" applyAlignment="1">
      <alignment vertical="center"/>
    </xf>
    <xf numFmtId="0" fontId="0" fillId="0" borderId="26" xfId="0" applyBorder="1"/>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xf numFmtId="2" fontId="2" fillId="0" borderId="3" xfId="0" applyNumberFormat="1" applyFont="1" applyBorder="1" applyAlignment="1">
      <alignment horizontal="center"/>
    </xf>
    <xf numFmtId="2" fontId="23" fillId="7" borderId="0" xfId="0" applyNumberFormat="1" applyFont="1" applyFill="1" applyBorder="1" applyAlignment="1">
      <alignment horizontal="left"/>
    </xf>
    <xf numFmtId="0" fontId="23" fillId="7" borderId="0" xfId="0" applyFont="1" applyFill="1" applyAlignment="1">
      <alignment horizontal="center"/>
    </xf>
    <xf numFmtId="0" fontId="0" fillId="11" borderId="0" xfId="0" applyFill="1" applyAlignment="1">
      <alignment horizontal="center"/>
    </xf>
    <xf numFmtId="0" fontId="0" fillId="9" borderId="0" xfId="0" applyFill="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2" fillId="6" borderId="0" xfId="0" applyFont="1" applyFill="1"/>
    <xf numFmtId="0" fontId="2" fillId="10" borderId="3" xfId="0" applyFont="1" applyFill="1" applyBorder="1" applyAlignment="1">
      <alignment horizontal="center"/>
    </xf>
    <xf numFmtId="2" fontId="0" fillId="10" borderId="3" xfId="0" applyNumberFormat="1" applyFill="1" applyBorder="1" applyAlignment="1">
      <alignment horizontal="center"/>
    </xf>
    <xf numFmtId="0" fontId="2" fillId="8" borderId="3" xfId="0" applyFont="1" applyFill="1" applyBorder="1" applyAlignment="1">
      <alignment horizontal="center"/>
    </xf>
    <xf numFmtId="2" fontId="0" fillId="8" borderId="3" xfId="0" applyNumberFormat="1" applyFill="1" applyBorder="1" applyAlignment="1">
      <alignment horizontal="center"/>
    </xf>
    <xf numFmtId="0" fontId="9" fillId="11" borderId="3" xfId="0" applyFont="1" applyFill="1" applyBorder="1" applyAlignment="1">
      <alignment horizontal="center"/>
    </xf>
    <xf numFmtId="2" fontId="3" fillId="11" borderId="3" xfId="0" applyNumberFormat="1" applyFont="1" applyFill="1" applyBorder="1" applyAlignment="1">
      <alignment horizontal="center"/>
    </xf>
    <xf numFmtId="0" fontId="2" fillId="11" borderId="3" xfId="0" applyFont="1" applyFill="1" applyBorder="1" applyAlignment="1">
      <alignment horizontal="center"/>
    </xf>
    <xf numFmtId="2" fontId="0" fillId="11" borderId="3" xfId="0" applyNumberFormat="1" applyFill="1" applyBorder="1" applyAlignment="1">
      <alignment horizontal="center"/>
    </xf>
    <xf numFmtId="0" fontId="0" fillId="0" borderId="14" xfId="0" applyBorder="1" applyAlignment="1">
      <alignment horizontal="center"/>
    </xf>
    <xf numFmtId="0" fontId="0" fillId="7" borderId="0" xfId="0" applyFill="1"/>
    <xf numFmtId="3" fontId="0" fillId="12" borderId="0" xfId="0" applyNumberFormat="1" applyFill="1" applyAlignment="1">
      <alignment horizontal="center"/>
    </xf>
    <xf numFmtId="3" fontId="0" fillId="13" borderId="0" xfId="0" applyNumberFormat="1" applyFill="1" applyAlignment="1">
      <alignment horizontal="center"/>
    </xf>
    <xf numFmtId="176" fontId="23" fillId="20" borderId="25" xfId="0" applyNumberFormat="1" applyFont="1" applyFill="1" applyBorder="1" applyAlignment="1">
      <alignment horizontal="center"/>
    </xf>
    <xf numFmtId="176" fontId="23" fillId="20" borderId="26" xfId="0" applyNumberFormat="1" applyFont="1" applyFill="1" applyBorder="1" applyAlignment="1">
      <alignment horizontal="center"/>
    </xf>
    <xf numFmtId="3" fontId="0" fillId="13" borderId="14" xfId="0" applyNumberFormat="1" applyFont="1" applyFill="1" applyBorder="1" applyAlignment="1">
      <alignment horizontal="center"/>
    </xf>
    <xf numFmtId="3" fontId="0" fillId="13" borderId="2" xfId="0" applyNumberFormat="1" applyFont="1" applyFill="1" applyBorder="1" applyAlignment="1">
      <alignment horizontal="center"/>
    </xf>
    <xf numFmtId="3" fontId="2" fillId="13" borderId="2" xfId="0" applyNumberFormat="1" applyFont="1" applyFill="1" applyBorder="1" applyAlignment="1">
      <alignment horizontal="center"/>
    </xf>
    <xf numFmtId="3" fontId="0" fillId="12" borderId="14" xfId="0" applyNumberFormat="1" applyFill="1" applyBorder="1" applyAlignment="1">
      <alignment horizontal="center"/>
    </xf>
    <xf numFmtId="3" fontId="0" fillId="12" borderId="2" xfId="0" applyNumberFormat="1" applyFill="1" applyBorder="1" applyAlignment="1">
      <alignment horizontal="center"/>
    </xf>
    <xf numFmtId="3" fontId="2" fillId="12" borderId="2" xfId="0" applyNumberFormat="1" applyFont="1" applyFill="1" applyBorder="1" applyAlignment="1">
      <alignment horizontal="center"/>
    </xf>
    <xf numFmtId="3" fontId="0" fillId="13" borderId="33" xfId="0" applyNumberFormat="1" applyFont="1" applyFill="1" applyBorder="1" applyAlignment="1">
      <alignment horizontal="center"/>
    </xf>
    <xf numFmtId="3" fontId="2" fillId="13" borderId="33" xfId="0" applyNumberFormat="1" applyFont="1" applyFill="1" applyBorder="1" applyAlignment="1">
      <alignment horizontal="center"/>
    </xf>
    <xf numFmtId="3" fontId="0" fillId="12" borderId="33" xfId="0" applyNumberFormat="1" applyFill="1" applyBorder="1" applyAlignment="1">
      <alignment horizontal="center"/>
    </xf>
    <xf numFmtId="3" fontId="2" fillId="12" borderId="33" xfId="0" applyNumberFormat="1" applyFont="1" applyFill="1" applyBorder="1" applyAlignment="1">
      <alignment horizontal="center"/>
    </xf>
    <xf numFmtId="3" fontId="0" fillId="13" borderId="33" xfId="0" applyNumberFormat="1" applyFill="1" applyBorder="1" applyAlignment="1">
      <alignment horizontal="center"/>
    </xf>
    <xf numFmtId="3" fontId="2" fillId="0" borderId="25" xfId="0" applyNumberFormat="1" applyFont="1" applyBorder="1" applyAlignment="1">
      <alignment horizontal="center"/>
    </xf>
    <xf numFmtId="3" fontId="2" fillId="0" borderId="26" xfId="0" applyNumberFormat="1" applyFont="1" applyBorder="1" applyAlignment="1">
      <alignment horizontal="center"/>
    </xf>
    <xf numFmtId="3" fontId="0" fillId="0" borderId="17" xfId="0" applyNumberFormat="1" applyBorder="1"/>
    <xf numFmtId="3" fontId="0" fillId="13" borderId="32" xfId="0" applyNumberFormat="1" applyFont="1" applyFill="1" applyBorder="1"/>
    <xf numFmtId="3" fontId="2" fillId="13" borderId="32" xfId="0" applyNumberFormat="1" applyFont="1" applyFill="1" applyBorder="1"/>
    <xf numFmtId="3" fontId="0" fillId="12" borderId="32" xfId="0" applyNumberFormat="1" applyFill="1" applyBorder="1"/>
    <xf numFmtId="3" fontId="2" fillId="12" borderId="32" xfId="0" applyNumberFormat="1" applyFont="1" applyFill="1" applyBorder="1"/>
    <xf numFmtId="3" fontId="0" fillId="13" borderId="32" xfId="0" applyNumberFormat="1" applyFill="1" applyBorder="1"/>
    <xf numFmtId="3" fontId="0" fillId="13" borderId="2" xfId="0" applyNumberFormat="1" applyFill="1" applyBorder="1" applyAlignment="1">
      <alignment horizontal="center"/>
    </xf>
    <xf numFmtId="175" fontId="2" fillId="13" borderId="0" xfId="0" applyNumberFormat="1" applyFont="1" applyFill="1" applyBorder="1" applyAlignment="1">
      <alignment horizontal="center"/>
    </xf>
    <xf numFmtId="175" fontId="2" fillId="12" borderId="0" xfId="0" applyNumberFormat="1" applyFont="1" applyFill="1" applyBorder="1" applyAlignment="1">
      <alignment horizontal="center"/>
    </xf>
    <xf numFmtId="3" fontId="0" fillId="21" borderId="33" xfId="0" applyNumberFormat="1" applyFill="1" applyBorder="1" applyAlignment="1">
      <alignment horizontal="center"/>
    </xf>
    <xf numFmtId="175" fontId="2" fillId="13" borderId="33" xfId="0" applyNumberFormat="1" applyFont="1" applyFill="1" applyBorder="1" applyAlignment="1">
      <alignment horizontal="center"/>
    </xf>
    <xf numFmtId="3" fontId="0" fillId="21" borderId="2" xfId="0" applyNumberFormat="1" applyFill="1" applyBorder="1" applyAlignment="1">
      <alignment horizontal="center"/>
    </xf>
    <xf numFmtId="175" fontId="2" fillId="13" borderId="2" xfId="0" applyNumberFormat="1" applyFont="1" applyFill="1" applyBorder="1" applyAlignment="1">
      <alignment horizontal="center"/>
    </xf>
    <xf numFmtId="175" fontId="2" fillId="12" borderId="2" xfId="0" applyNumberFormat="1" applyFont="1" applyFill="1" applyBorder="1" applyAlignment="1">
      <alignment horizontal="center"/>
    </xf>
    <xf numFmtId="176" fontId="23" fillId="20" borderId="20" xfId="0" applyNumberFormat="1" applyFont="1" applyFill="1" applyBorder="1" applyAlignment="1">
      <alignment horizontal="center"/>
    </xf>
    <xf numFmtId="3" fontId="0" fillId="21" borderId="32" xfId="0" applyNumberFormat="1" applyFill="1" applyBorder="1"/>
    <xf numFmtId="3" fontId="23" fillId="20" borderId="17" xfId="0" applyNumberFormat="1" applyFont="1" applyFill="1" applyBorder="1"/>
    <xf numFmtId="3" fontId="0" fillId="12" borderId="39" xfId="0" applyNumberFormat="1" applyFill="1" applyBorder="1"/>
    <xf numFmtId="3" fontId="0" fillId="12" borderId="65" xfId="0" applyNumberFormat="1" applyFill="1" applyBorder="1" applyAlignment="1">
      <alignment horizontal="center"/>
    </xf>
    <xf numFmtId="3" fontId="0" fillId="13" borderId="39" xfId="0" applyNumberFormat="1" applyFont="1" applyFill="1" applyBorder="1"/>
    <xf numFmtId="3" fontId="0" fillId="13" borderId="65" xfId="0" applyNumberFormat="1" applyFont="1" applyFill="1" applyBorder="1" applyAlignment="1">
      <alignment horizontal="center"/>
    </xf>
    <xf numFmtId="3" fontId="2" fillId="0" borderId="20" xfId="0" applyNumberFormat="1" applyFont="1" applyBorder="1" applyAlignment="1">
      <alignment horizontal="center"/>
    </xf>
    <xf numFmtId="3" fontId="0" fillId="2" borderId="0" xfId="0" applyNumberFormat="1" applyFill="1" applyAlignment="1">
      <alignment horizontal="center"/>
    </xf>
    <xf numFmtId="164" fontId="0" fillId="2" borderId="0" xfId="0" applyNumberFormat="1" applyFill="1" applyAlignment="1">
      <alignment horizontal="center"/>
    </xf>
    <xf numFmtId="2" fontId="2" fillId="8" borderId="3" xfId="0" applyNumberFormat="1" applyFont="1" applyFill="1" applyBorder="1" applyAlignment="1">
      <alignment horizontal="center"/>
    </xf>
    <xf numFmtId="2" fontId="9" fillId="11" borderId="3" xfId="0" applyNumberFormat="1" applyFont="1" applyFill="1" applyBorder="1" applyAlignment="1">
      <alignment horizontal="center"/>
    </xf>
    <xf numFmtId="2" fontId="2" fillId="11" borderId="3" xfId="0" applyNumberFormat="1" applyFont="1" applyFill="1" applyBorder="1" applyAlignment="1">
      <alignment horizontal="center"/>
    </xf>
    <xf numFmtId="2" fontId="2" fillId="10" borderId="3" xfId="0" applyNumberFormat="1" applyFont="1" applyFill="1" applyBorder="1" applyAlignment="1">
      <alignment horizontal="center"/>
    </xf>
    <xf numFmtId="169" fontId="0" fillId="9" borderId="0" xfId="0" applyNumberFormat="1" applyFill="1" applyAlignment="1">
      <alignment horizontal="center"/>
    </xf>
    <xf numFmtId="169" fontId="0" fillId="11" borderId="0" xfId="0" applyNumberFormat="1" applyFill="1" applyAlignment="1">
      <alignment horizontal="center"/>
    </xf>
    <xf numFmtId="169" fontId="0" fillId="13" borderId="0" xfId="0" applyNumberFormat="1" applyFill="1" applyAlignment="1">
      <alignment horizontal="center"/>
    </xf>
    <xf numFmtId="169" fontId="0" fillId="12" borderId="0" xfId="0" applyNumberFormat="1" applyFill="1" applyAlignment="1">
      <alignment horizontal="center"/>
    </xf>
    <xf numFmtId="0" fontId="0" fillId="3" borderId="0" xfId="0" applyFill="1"/>
    <xf numFmtId="0" fontId="0" fillId="3" borderId="0" xfId="0" applyFill="1" applyAlignment="1">
      <alignment horizontal="center"/>
    </xf>
    <xf numFmtId="2" fontId="0" fillId="0" borderId="19" xfId="0" applyNumberFormat="1" applyFont="1" applyFill="1" applyBorder="1" applyAlignment="1">
      <alignment horizontal="center"/>
    </xf>
    <xf numFmtId="2" fontId="0" fillId="0" borderId="14" xfId="0" applyNumberFormat="1" applyFont="1" applyFill="1" applyBorder="1" applyAlignment="1">
      <alignment horizontal="center"/>
    </xf>
    <xf numFmtId="171" fontId="0" fillId="0" borderId="14" xfId="0" applyNumberFormat="1" applyBorder="1" applyAlignment="1">
      <alignment horizontal="center"/>
    </xf>
    <xf numFmtId="2" fontId="0" fillId="0" borderId="5" xfId="0" applyNumberFormat="1" applyBorder="1" applyAlignment="1">
      <alignment horizontal="center"/>
    </xf>
    <xf numFmtId="164" fontId="0" fillId="0" borderId="19" xfId="0" applyNumberFormat="1" applyBorder="1" applyAlignment="1">
      <alignment horizontal="center"/>
    </xf>
    <xf numFmtId="0" fontId="0" fillId="0" borderId="6" xfId="0" applyBorder="1"/>
    <xf numFmtId="3" fontId="0" fillId="0" borderId="14" xfId="0" applyNumberFormat="1" applyFont="1" applyFill="1" applyBorder="1" applyAlignment="1">
      <alignment horizontal="center"/>
    </xf>
    <xf numFmtId="170" fontId="0" fillId="9" borderId="0" xfId="0" applyNumberFormat="1" applyFill="1" applyAlignment="1">
      <alignment horizontal="center"/>
    </xf>
    <xf numFmtId="170" fontId="0" fillId="11" borderId="0" xfId="0" applyNumberFormat="1" applyFill="1" applyAlignment="1">
      <alignment horizontal="center"/>
    </xf>
    <xf numFmtId="170" fontId="23" fillId="7" borderId="0" xfId="0" applyNumberFormat="1" applyFont="1" applyFill="1" applyAlignment="1">
      <alignment horizontal="center"/>
    </xf>
    <xf numFmtId="170" fontId="0" fillId="12" borderId="0" xfId="0" applyNumberFormat="1" applyFill="1" applyAlignment="1">
      <alignment horizontal="center"/>
    </xf>
    <xf numFmtId="170" fontId="0" fillId="13" borderId="0" xfId="0" applyNumberFormat="1" applyFill="1" applyAlignment="1">
      <alignment horizontal="center"/>
    </xf>
    <xf numFmtId="170" fontId="0" fillId="3" borderId="0" xfId="0" applyNumberFormat="1" applyFill="1" applyAlignment="1">
      <alignment horizontal="center"/>
    </xf>
    <xf numFmtId="3" fontId="0" fillId="3" borderId="0" xfId="0" applyNumberFormat="1" applyFill="1" applyAlignment="1">
      <alignment horizontal="center"/>
    </xf>
    <xf numFmtId="0" fontId="23" fillId="14" borderId="62" xfId="0" applyFont="1" applyFill="1" applyBorder="1" applyAlignment="1">
      <alignment horizontal="center"/>
    </xf>
    <xf numFmtId="165" fontId="0" fillId="0" borderId="17" xfId="0" applyNumberFormat="1" applyFont="1" applyFill="1" applyBorder="1" applyAlignment="1">
      <alignment horizontal="center"/>
    </xf>
    <xf numFmtId="164" fontId="0" fillId="6" borderId="10" xfId="0" applyNumberFormat="1" applyFill="1" applyBorder="1" applyAlignment="1">
      <alignment horizontal="center"/>
    </xf>
    <xf numFmtId="164" fontId="0" fillId="6" borderId="0" xfId="0" applyNumberFormat="1" applyFill="1" applyBorder="1" applyAlignment="1">
      <alignment horizontal="center"/>
    </xf>
    <xf numFmtId="164" fontId="0" fillId="6" borderId="1" xfId="0" applyNumberFormat="1" applyFill="1" applyBorder="1" applyAlignment="1">
      <alignment horizontal="center"/>
    </xf>
    <xf numFmtId="164" fontId="2" fillId="11" borderId="13" xfId="0" applyNumberFormat="1" applyFont="1" applyFill="1" applyBorder="1" applyAlignment="1">
      <alignment horizontal="center"/>
    </xf>
    <xf numFmtId="3" fontId="0" fillId="6" borderId="10" xfId="0" applyNumberFormat="1" applyFill="1" applyBorder="1" applyAlignment="1">
      <alignment horizontal="center"/>
    </xf>
    <xf numFmtId="3" fontId="0" fillId="6" borderId="0" xfId="0" applyNumberFormat="1" applyFill="1" applyBorder="1" applyAlignment="1">
      <alignment horizontal="center"/>
    </xf>
    <xf numFmtId="3" fontId="0" fillId="6" borderId="1" xfId="0" applyNumberFormat="1" applyFill="1" applyBorder="1" applyAlignment="1">
      <alignment horizontal="center"/>
    </xf>
    <xf numFmtId="164" fontId="2" fillId="9" borderId="13" xfId="0" applyNumberFormat="1" applyFont="1" applyFill="1" applyBorder="1" applyAlignment="1">
      <alignment horizontal="center"/>
    </xf>
    <xf numFmtId="164" fontId="23" fillId="14" borderId="11" xfId="0" applyNumberFormat="1" applyFont="1" applyFill="1" applyBorder="1" applyAlignment="1">
      <alignment horizontal="center"/>
    </xf>
    <xf numFmtId="176" fontId="23" fillId="14" borderId="13" xfId="0" applyNumberFormat="1" applyFont="1" applyFill="1" applyBorder="1" applyAlignment="1">
      <alignment horizontal="center"/>
    </xf>
    <xf numFmtId="3" fontId="2" fillId="9" borderId="11" xfId="0" applyNumberFormat="1" applyFont="1" applyFill="1" applyBorder="1" applyAlignment="1">
      <alignment horizontal="center"/>
    </xf>
    <xf numFmtId="3" fontId="2" fillId="11" borderId="12" xfId="0" applyNumberFormat="1" applyFont="1" applyFill="1" applyBorder="1" applyAlignment="1">
      <alignment horizontal="center"/>
    </xf>
    <xf numFmtId="3" fontId="2" fillId="9" borderId="13" xfId="0" applyNumberFormat="1" applyFont="1" applyFill="1" applyBorder="1" applyAlignment="1">
      <alignment horizontal="center"/>
    </xf>
    <xf numFmtId="164" fontId="2" fillId="9" borderId="11" xfId="0" applyNumberFormat="1" applyFont="1" applyFill="1" applyBorder="1" applyAlignment="1">
      <alignment horizontal="center"/>
    </xf>
    <xf numFmtId="164" fontId="2" fillId="11" borderId="12" xfId="0" applyNumberFormat="1" applyFont="1" applyFill="1" applyBorder="1" applyAlignment="1">
      <alignment horizontal="center"/>
    </xf>
    <xf numFmtId="164" fontId="2" fillId="9" borderId="12" xfId="0" applyNumberFormat="1" applyFont="1" applyFill="1" applyBorder="1" applyAlignment="1">
      <alignment horizontal="center"/>
    </xf>
    <xf numFmtId="0" fontId="0" fillId="9" borderId="4" xfId="0" applyFill="1" applyBorder="1" applyAlignment="1">
      <alignment horizontal="center" wrapText="1"/>
    </xf>
    <xf numFmtId="0" fontId="0" fillId="11" borderId="5" xfId="0" applyFill="1" applyBorder="1" applyAlignment="1">
      <alignment horizontal="center" wrapText="1"/>
    </xf>
    <xf numFmtId="0" fontId="0" fillId="9" borderId="6" xfId="0" applyFill="1" applyBorder="1" applyAlignment="1">
      <alignment horizontal="center" wrapText="1"/>
    </xf>
    <xf numFmtId="0" fontId="0" fillId="9" borderId="5" xfId="0" applyFill="1" applyBorder="1" applyAlignment="1">
      <alignment horizontal="center" wrapText="1"/>
    </xf>
    <xf numFmtId="0" fontId="2" fillId="11" borderId="6" xfId="0" applyFont="1" applyFill="1" applyBorder="1" applyAlignment="1">
      <alignment horizontal="center" wrapText="1"/>
    </xf>
    <xf numFmtId="0" fontId="2" fillId="9" borderId="6" xfId="0" applyFont="1" applyFill="1" applyBorder="1" applyAlignment="1">
      <alignment horizontal="center" wrapText="1"/>
    </xf>
    <xf numFmtId="0" fontId="9" fillId="11" borderId="4" xfId="0" applyFont="1" applyFill="1" applyBorder="1" applyAlignment="1">
      <alignment horizontal="center" wrapText="1"/>
    </xf>
    <xf numFmtId="0" fontId="9" fillId="9" borderId="6" xfId="0" applyFont="1" applyFill="1" applyBorder="1" applyAlignment="1">
      <alignment horizontal="center" wrapText="1"/>
    </xf>
    <xf numFmtId="0" fontId="23" fillId="14" borderId="0" xfId="0" applyFont="1" applyFill="1" applyAlignment="1">
      <alignment horizontal="center" wrapText="1"/>
    </xf>
    <xf numFmtId="164" fontId="2" fillId="6" borderId="1" xfId="0" applyNumberFormat="1" applyFont="1" applyFill="1" applyBorder="1" applyAlignment="1">
      <alignment horizontal="center"/>
    </xf>
    <xf numFmtId="164" fontId="2" fillId="6" borderId="10" xfId="0" applyNumberFormat="1" applyFont="1" applyFill="1" applyBorder="1" applyAlignment="1">
      <alignment horizontal="center"/>
    </xf>
    <xf numFmtId="0" fontId="2" fillId="0" borderId="16" xfId="0" applyFont="1" applyBorder="1" applyAlignment="1">
      <alignment horizontal="center"/>
    </xf>
    <xf numFmtId="164" fontId="0" fillId="6" borderId="10" xfId="0" applyNumberFormat="1" applyFill="1" applyBorder="1" applyAlignment="1">
      <alignment horizontal="center" wrapText="1"/>
    </xf>
    <xf numFmtId="164" fontId="0" fillId="6" borderId="0" xfId="0" applyNumberFormat="1" applyFill="1" applyBorder="1" applyAlignment="1">
      <alignment horizontal="center" wrapText="1"/>
    </xf>
    <xf numFmtId="0" fontId="9" fillId="6" borderId="1" xfId="0" applyFont="1" applyFill="1" applyBorder="1" applyAlignment="1">
      <alignment horizontal="center" wrapText="1"/>
    </xf>
    <xf numFmtId="0" fontId="0" fillId="6" borderId="10" xfId="0" applyFill="1" applyBorder="1" applyAlignment="1">
      <alignment horizontal="center" wrapText="1"/>
    </xf>
    <xf numFmtId="0" fontId="0" fillId="6" borderId="1" xfId="0" applyFill="1" applyBorder="1" applyAlignment="1">
      <alignment horizontal="center" wrapText="1"/>
    </xf>
    <xf numFmtId="164" fontId="0" fillId="0" borderId="56" xfId="0" applyNumberFormat="1" applyBorder="1" applyAlignment="1">
      <alignment horizontal="center"/>
    </xf>
    <xf numFmtId="164" fontId="0" fillId="0" borderId="57" xfId="0" applyNumberFormat="1" applyBorder="1" applyAlignment="1">
      <alignment horizontal="center"/>
    </xf>
    <xf numFmtId="164" fontId="0" fillId="0" borderId="14" xfId="0" applyNumberFormat="1" applyBorder="1" applyAlignment="1">
      <alignment horizontal="center"/>
    </xf>
    <xf numFmtId="164" fontId="2" fillId="0" borderId="16" xfId="0" applyNumberFormat="1" applyFont="1" applyBorder="1" applyAlignment="1">
      <alignment horizontal="center"/>
    </xf>
    <xf numFmtId="164" fontId="2" fillId="0" borderId="20" xfId="0" applyNumberFormat="1" applyFont="1" applyBorder="1" applyAlignment="1">
      <alignment horizontal="center"/>
    </xf>
    <xf numFmtId="0" fontId="10" fillId="0" borderId="0" xfId="0" applyFont="1"/>
    <xf numFmtId="6" fontId="0" fillId="0" borderId="0" xfId="0" applyNumberFormat="1" applyAlignment="1">
      <alignment horizontal="center"/>
    </xf>
    <xf numFmtId="0" fontId="0" fillId="0" borderId="0" xfId="0" applyAlignment="1">
      <alignment horizontal="right"/>
    </xf>
    <xf numFmtId="3" fontId="0" fillId="0" borderId="6" xfId="0" applyNumberFormat="1" applyBorder="1" applyAlignment="1">
      <alignment horizontal="center"/>
    </xf>
    <xf numFmtId="0" fontId="2" fillId="0" borderId="23" xfId="0" applyFont="1" applyBorder="1"/>
    <xf numFmtId="0" fontId="2" fillId="0" borderId="71" xfId="0" applyFont="1" applyBorder="1"/>
    <xf numFmtId="3" fontId="0" fillId="0" borderId="13" xfId="0" applyNumberFormat="1" applyBorder="1" applyAlignment="1">
      <alignment horizontal="center"/>
    </xf>
    <xf numFmtId="0" fontId="2" fillId="0" borderId="69" xfId="0" applyFont="1" applyBorder="1" applyAlignment="1">
      <alignment horizontal="center"/>
    </xf>
    <xf numFmtId="0" fontId="2" fillId="0" borderId="20" xfId="0" applyFont="1" applyBorder="1" applyAlignment="1">
      <alignment horizontal="center"/>
    </xf>
    <xf numFmtId="0" fontId="2" fillId="0" borderId="39" xfId="0" applyFont="1" applyBorder="1"/>
    <xf numFmtId="3" fontId="0" fillId="0" borderId="9" xfId="0" applyNumberFormat="1" applyBorder="1" applyAlignment="1">
      <alignment horizontal="center"/>
    </xf>
    <xf numFmtId="3" fontId="2" fillId="0" borderId="69" xfId="0" applyNumberFormat="1" applyFont="1" applyBorder="1" applyAlignment="1">
      <alignment horizontal="center"/>
    </xf>
    <xf numFmtId="0" fontId="2" fillId="23" borderId="27" xfId="0" applyFont="1" applyFill="1" applyBorder="1"/>
    <xf numFmtId="38" fontId="2" fillId="23" borderId="25" xfId="0" applyNumberFormat="1" applyFont="1" applyFill="1" applyBorder="1" applyAlignment="1">
      <alignment horizontal="center"/>
    </xf>
    <xf numFmtId="0" fontId="2" fillId="23" borderId="26" xfId="0" applyFont="1" applyFill="1" applyBorder="1"/>
    <xf numFmtId="0" fontId="32" fillId="0" borderId="3" xfId="0" applyFont="1" applyBorder="1"/>
    <xf numFmtId="0" fontId="32" fillId="0" borderId="3" xfId="0" applyFont="1" applyBorder="1" applyAlignment="1">
      <alignment horizontal="center" wrapText="1"/>
    </xf>
    <xf numFmtId="0" fontId="32" fillId="0" borderId="3" xfId="0" applyFont="1" applyBorder="1" applyAlignment="1">
      <alignment horizontal="center"/>
    </xf>
    <xf numFmtId="3" fontId="32" fillId="0" borderId="3" xfId="0" applyNumberFormat="1" applyFont="1" applyBorder="1" applyAlignment="1">
      <alignment horizontal="center"/>
    </xf>
    <xf numFmtId="2" fontId="32" fillId="0" borderId="3" xfId="0" applyNumberFormat="1" applyFont="1" applyBorder="1" applyAlignment="1">
      <alignment horizontal="center"/>
    </xf>
    <xf numFmtId="164" fontId="0" fillId="0" borderId="0" xfId="0" applyNumberFormat="1"/>
    <xf numFmtId="164" fontId="0" fillId="0" borderId="3" xfId="0" applyNumberFormat="1" applyFill="1" applyBorder="1" applyAlignment="1">
      <alignment horizontal="center"/>
    </xf>
    <xf numFmtId="3" fontId="0" fillId="0" borderId="11" xfId="0" applyNumberFormat="1" applyFill="1" applyBorder="1" applyAlignment="1">
      <alignment horizontal="center"/>
    </xf>
    <xf numFmtId="0" fontId="26" fillId="0" borderId="0" xfId="0" applyFont="1"/>
    <xf numFmtId="0" fontId="33" fillId="0" borderId="0" xfId="0" applyFont="1" applyBorder="1" applyAlignment="1">
      <alignment vertical="center"/>
    </xf>
    <xf numFmtId="0" fontId="27" fillId="0" borderId="61" xfId="0" applyFont="1" applyBorder="1" applyAlignment="1">
      <alignment horizontal="center" vertical="center"/>
    </xf>
    <xf numFmtId="0" fontId="27" fillId="0" borderId="60" xfId="0" applyFont="1" applyBorder="1" applyAlignment="1">
      <alignment horizontal="center" vertical="center"/>
    </xf>
    <xf numFmtId="0" fontId="27" fillId="0" borderId="15" xfId="0" applyFont="1" applyBorder="1" applyAlignment="1">
      <alignment horizontal="center" vertical="center"/>
    </xf>
    <xf numFmtId="0" fontId="27" fillId="0" borderId="20" xfId="0" applyFont="1" applyBorder="1" applyAlignment="1">
      <alignment horizontal="center" vertical="center"/>
    </xf>
    <xf numFmtId="0" fontId="27" fillId="0" borderId="16" xfId="0" applyFont="1" applyFill="1" applyBorder="1" applyAlignment="1">
      <alignment horizontal="center" vertical="center"/>
    </xf>
    <xf numFmtId="0" fontId="27" fillId="0" borderId="66" xfId="0" applyFont="1" applyBorder="1" applyAlignment="1">
      <alignment horizontal="center" vertical="center"/>
    </xf>
    <xf numFmtId="0" fontId="27" fillId="0" borderId="16" xfId="0" applyFont="1" applyBorder="1" applyAlignment="1">
      <alignment horizontal="center" vertical="center"/>
    </xf>
    <xf numFmtId="0" fontId="27" fillId="0" borderId="69" xfId="0" applyFont="1" applyBorder="1" applyAlignment="1">
      <alignment horizontal="center" vertical="center"/>
    </xf>
    <xf numFmtId="0" fontId="27" fillId="0" borderId="63"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Fill="1" applyBorder="1" applyAlignment="1">
      <alignment horizontal="center" vertical="center"/>
    </xf>
    <xf numFmtId="0" fontId="27" fillId="0" borderId="15" xfId="0" applyFont="1" applyBorder="1" applyAlignment="1">
      <alignment horizontal="center" wrapText="1"/>
    </xf>
    <xf numFmtId="0" fontId="27" fillId="0" borderId="16" xfId="0" applyFont="1" applyBorder="1" applyAlignment="1">
      <alignment horizontal="center" wrapText="1"/>
    </xf>
    <xf numFmtId="0" fontId="27" fillId="0" borderId="69" xfId="0" applyFont="1" applyFill="1" applyBorder="1" applyAlignment="1">
      <alignment horizontal="center" wrapText="1"/>
    </xf>
    <xf numFmtId="0" fontId="27" fillId="0" borderId="20" xfId="0" applyFont="1" applyFill="1" applyBorder="1" applyAlignment="1">
      <alignment horizontal="center" wrapText="1"/>
    </xf>
    <xf numFmtId="0" fontId="27" fillId="0" borderId="16" xfId="0" applyFont="1" applyFill="1" applyBorder="1" applyAlignment="1">
      <alignment horizontal="center" wrapText="1"/>
    </xf>
    <xf numFmtId="0" fontId="27" fillId="0" borderId="21" xfId="0" applyFont="1" applyBorder="1" applyAlignment="1">
      <alignment horizontal="center" wrapText="1"/>
    </xf>
    <xf numFmtId="0" fontId="26" fillId="0" borderId="37" xfId="0" applyFont="1" applyBorder="1" applyAlignment="1">
      <alignment horizontal="center"/>
    </xf>
    <xf numFmtId="0" fontId="26" fillId="0" borderId="56" xfId="0" applyFont="1" applyBorder="1" applyAlignment="1">
      <alignment horizontal="center"/>
    </xf>
    <xf numFmtId="164" fontId="26" fillId="0" borderId="13" xfId="0" applyNumberFormat="1" applyFont="1" applyBorder="1" applyAlignment="1">
      <alignment horizontal="center"/>
    </xf>
    <xf numFmtId="164" fontId="26" fillId="0" borderId="19" xfId="0" applyNumberFormat="1" applyFont="1" applyBorder="1" applyAlignment="1">
      <alignment horizontal="center"/>
    </xf>
    <xf numFmtId="164" fontId="26" fillId="0" borderId="56" xfId="0" applyNumberFormat="1" applyFont="1" applyBorder="1" applyAlignment="1">
      <alignment horizontal="center"/>
    </xf>
    <xf numFmtId="0" fontId="26" fillId="0" borderId="11" xfId="0" applyFont="1" applyBorder="1" applyAlignment="1">
      <alignment horizontal="center"/>
    </xf>
    <xf numFmtId="164" fontId="26" fillId="0" borderId="37" xfId="0" applyNumberFormat="1" applyFont="1" applyBorder="1" applyAlignment="1">
      <alignment horizontal="center"/>
    </xf>
    <xf numFmtId="164" fontId="26" fillId="0" borderId="11" xfId="0" applyNumberFormat="1" applyFont="1" applyBorder="1" applyAlignment="1">
      <alignment horizontal="center"/>
    </xf>
    <xf numFmtId="0" fontId="26" fillId="0" borderId="34" xfId="0" applyFont="1" applyBorder="1" applyAlignment="1">
      <alignment horizontal="center"/>
    </xf>
    <xf numFmtId="0" fontId="26" fillId="0" borderId="50" xfId="0" applyFont="1" applyBorder="1" applyAlignment="1">
      <alignment horizontal="center"/>
    </xf>
    <xf numFmtId="164" fontId="26" fillId="0" borderId="6" xfId="0" applyNumberFormat="1" applyFont="1" applyBorder="1" applyAlignment="1">
      <alignment horizontal="center"/>
    </xf>
    <xf numFmtId="164" fontId="26" fillId="0" borderId="3" xfId="0" applyNumberFormat="1" applyFont="1" applyBorder="1" applyAlignment="1">
      <alignment horizontal="center"/>
    </xf>
    <xf numFmtId="164" fontId="26" fillId="0" borderId="50" xfId="0" applyNumberFormat="1" applyFont="1" applyBorder="1" applyAlignment="1">
      <alignment horizontal="center"/>
    </xf>
    <xf numFmtId="0" fontId="26" fillId="0" borderId="4" xfId="0" applyFont="1" applyBorder="1" applyAlignment="1">
      <alignment horizontal="center"/>
    </xf>
    <xf numFmtId="164" fontId="26" fillId="0" borderId="34" xfId="0" applyNumberFormat="1" applyFont="1" applyBorder="1" applyAlignment="1">
      <alignment horizontal="center"/>
    </xf>
    <xf numFmtId="0" fontId="26" fillId="0" borderId="38" xfId="0" applyFont="1" applyBorder="1" applyAlignment="1">
      <alignment horizontal="center"/>
    </xf>
    <xf numFmtId="0" fontId="26" fillId="0" borderId="57" xfId="0" applyFont="1" applyBorder="1" applyAlignment="1">
      <alignment horizontal="center"/>
    </xf>
    <xf numFmtId="164" fontId="26" fillId="0" borderId="9" xfId="0" applyNumberFormat="1" applyFont="1" applyBorder="1" applyAlignment="1">
      <alignment horizontal="center"/>
    </xf>
    <xf numFmtId="164" fontId="26" fillId="0" borderId="14" xfId="0" applyNumberFormat="1" applyFont="1" applyBorder="1" applyAlignment="1">
      <alignment horizontal="center"/>
    </xf>
    <xf numFmtId="164" fontId="26" fillId="0" borderId="57" xfId="0" applyNumberFormat="1" applyFont="1" applyBorder="1" applyAlignment="1">
      <alignment horizontal="center"/>
    </xf>
    <xf numFmtId="0" fontId="26" fillId="0" borderId="7" xfId="0" applyFont="1" applyBorder="1" applyAlignment="1">
      <alignment horizontal="center"/>
    </xf>
    <xf numFmtId="164" fontId="26" fillId="0" borderId="38" xfId="0" applyNumberFormat="1" applyFont="1" applyBorder="1" applyAlignment="1">
      <alignment horizontal="center"/>
    </xf>
    <xf numFmtId="164" fontId="26" fillId="0" borderId="1" xfId="0" applyNumberFormat="1" applyFont="1" applyBorder="1" applyAlignment="1">
      <alignment horizontal="center"/>
    </xf>
    <xf numFmtId="164" fontId="26" fillId="0" borderId="51" xfId="0" applyNumberFormat="1" applyFont="1" applyBorder="1" applyAlignment="1">
      <alignment horizontal="center"/>
    </xf>
    <xf numFmtId="164" fontId="26" fillId="0" borderId="52" xfId="0" applyNumberFormat="1" applyFont="1" applyBorder="1" applyAlignment="1">
      <alignment horizontal="center"/>
    </xf>
    <xf numFmtId="164" fontId="26" fillId="0" borderId="53" xfId="0" applyNumberFormat="1" applyFont="1" applyBorder="1" applyAlignment="1">
      <alignment horizontal="center"/>
    </xf>
    <xf numFmtId="0" fontId="27" fillId="0" borderId="15" xfId="0" applyFont="1" applyBorder="1"/>
    <xf numFmtId="0" fontId="27" fillId="0" borderId="16" xfId="0" applyFont="1" applyBorder="1" applyAlignment="1">
      <alignment horizontal="right"/>
    </xf>
    <xf numFmtId="164" fontId="27" fillId="0" borderId="69" xfId="0" applyNumberFormat="1" applyFont="1" applyBorder="1" applyAlignment="1">
      <alignment horizontal="center"/>
    </xf>
    <xf numFmtId="164" fontId="27" fillId="0" borderId="20" xfId="0" applyNumberFormat="1" applyFont="1" applyBorder="1" applyAlignment="1">
      <alignment horizontal="center"/>
    </xf>
    <xf numFmtId="164" fontId="27" fillId="0" borderId="16" xfId="0" applyNumberFormat="1" applyFont="1" applyBorder="1" applyAlignment="1">
      <alignment horizontal="center"/>
    </xf>
    <xf numFmtId="164" fontId="27" fillId="0" borderId="15" xfId="0" applyNumberFormat="1" applyFont="1" applyBorder="1" applyAlignment="1">
      <alignment horizontal="center"/>
    </xf>
    <xf numFmtId="0" fontId="27" fillId="0" borderId="20" xfId="0" applyFont="1" applyBorder="1" applyAlignment="1">
      <alignment horizontal="right"/>
    </xf>
    <xf numFmtId="164" fontId="27" fillId="0" borderId="64" xfId="0" applyNumberFormat="1" applyFont="1" applyBorder="1" applyAlignment="1">
      <alignment horizontal="center"/>
    </xf>
    <xf numFmtId="164" fontId="27" fillId="0" borderId="70" xfId="0" applyNumberFormat="1" applyFont="1" applyBorder="1" applyAlignment="1">
      <alignment horizontal="center"/>
    </xf>
    <xf numFmtId="165" fontId="0" fillId="0" borderId="14" xfId="0" applyNumberFormat="1" applyFill="1" applyBorder="1" applyAlignment="1">
      <alignment horizontal="center"/>
    </xf>
    <xf numFmtId="9" fontId="0" fillId="0" borderId="2" xfId="0" applyNumberFormat="1" applyBorder="1" applyAlignment="1">
      <alignment horizontal="center"/>
    </xf>
    <xf numFmtId="0" fontId="0" fillId="0" borderId="2" xfId="0" applyFill="1" applyBorder="1" applyAlignment="1">
      <alignment horizontal="center"/>
    </xf>
    <xf numFmtId="0" fontId="0" fillId="0" borderId="19" xfId="0" applyBorder="1" applyAlignment="1">
      <alignment horizontal="center"/>
    </xf>
    <xf numFmtId="0" fontId="34" fillId="0" borderId="0" xfId="0" applyFont="1" applyAlignment="1">
      <alignment vertical="top" wrapText="1"/>
    </xf>
    <xf numFmtId="0" fontId="35" fillId="0" borderId="0" xfId="0" applyFont="1" applyAlignment="1">
      <alignment vertical="top" wrapText="1"/>
    </xf>
    <xf numFmtId="0" fontId="36" fillId="0" borderId="0" xfId="0" applyFont="1" applyAlignment="1">
      <alignment horizontal="left" vertical="top"/>
    </xf>
    <xf numFmtId="0" fontId="37" fillId="0" borderId="0" xfId="0" applyFont="1" applyAlignment="1">
      <alignment horizontal="center" vertical="top" wrapText="1"/>
    </xf>
    <xf numFmtId="0" fontId="38" fillId="21" borderId="17" xfId="0" applyFont="1" applyFill="1" applyBorder="1" applyAlignment="1">
      <alignment horizontal="center" vertical="top" wrapText="1"/>
    </xf>
    <xf numFmtId="0" fontId="39" fillId="6" borderId="17" xfId="0" applyFont="1" applyFill="1" applyBorder="1" applyAlignment="1">
      <alignment vertical="top" wrapText="1"/>
    </xf>
    <xf numFmtId="0" fontId="39" fillId="0" borderId="0" xfId="0" applyFont="1" applyAlignment="1">
      <alignment vertical="top" wrapText="1"/>
    </xf>
    <xf numFmtId="0" fontId="38" fillId="24" borderId="17" xfId="0" applyFont="1" applyFill="1" applyBorder="1" applyAlignment="1">
      <alignment vertical="top" wrapText="1"/>
    </xf>
    <xf numFmtId="0" fontId="35" fillId="12" borderId="17" xfId="0" applyFont="1" applyFill="1" applyBorder="1" applyAlignment="1">
      <alignment vertical="top" wrapText="1"/>
    </xf>
    <xf numFmtId="0" fontId="39" fillId="25" borderId="17" xfId="0" applyFont="1" applyFill="1" applyBorder="1" applyAlignment="1">
      <alignment vertical="top" wrapText="1"/>
    </xf>
    <xf numFmtId="0" fontId="35" fillId="13" borderId="17" xfId="0" applyFont="1" applyFill="1" applyBorder="1" applyAlignment="1">
      <alignment vertical="top" wrapText="1"/>
    </xf>
    <xf numFmtId="0" fontId="35" fillId="10" borderId="17" xfId="0" applyFont="1" applyFill="1" applyBorder="1" applyAlignment="1">
      <alignment vertical="top" wrapText="1"/>
    </xf>
    <xf numFmtId="0" fontId="38" fillId="22" borderId="17" xfId="0" applyFont="1" applyFill="1" applyBorder="1" applyAlignment="1">
      <alignment vertical="top" wrapText="1"/>
    </xf>
    <xf numFmtId="0" fontId="39" fillId="3" borderId="17" xfId="0" applyFont="1" applyFill="1" applyBorder="1" applyAlignment="1">
      <alignment vertical="top" wrapText="1"/>
    </xf>
    <xf numFmtId="0" fontId="35" fillId="26" borderId="17" xfId="0" applyFont="1" applyFill="1" applyBorder="1" applyAlignment="1">
      <alignment vertical="top" wrapText="1"/>
    </xf>
    <xf numFmtId="0" fontId="38" fillId="19" borderId="17" xfId="0" applyFont="1" applyFill="1" applyBorder="1" applyAlignment="1">
      <alignment vertical="top" wrapText="1"/>
    </xf>
    <xf numFmtId="0" fontId="35" fillId="6" borderId="17" xfId="0" applyFont="1" applyFill="1" applyBorder="1" applyAlignment="1">
      <alignment vertical="top" wrapText="1"/>
    </xf>
    <xf numFmtId="0" fontId="23" fillId="14" borderId="0" xfId="0" applyFont="1" applyFill="1" applyAlignment="1">
      <alignment horizontal="center"/>
    </xf>
    <xf numFmtId="0" fontId="0" fillId="0" borderId="3" xfId="0" applyBorder="1" applyAlignment="1">
      <alignment horizontal="center"/>
    </xf>
    <xf numFmtId="0" fontId="0" fillId="0" borderId="14" xfId="0" applyBorder="1" applyAlignment="1">
      <alignment horizontal="center"/>
    </xf>
    <xf numFmtId="3" fontId="0" fillId="0" borderId="3" xfId="0" applyNumberFormat="1" applyBorder="1" applyAlignment="1">
      <alignment horizontal="center" vertical="center"/>
    </xf>
    <xf numFmtId="9" fontId="0" fillId="0" borderId="3" xfId="0" applyNumberFormat="1" applyBorder="1" applyAlignment="1">
      <alignment horizontal="center"/>
    </xf>
    <xf numFmtId="0" fontId="2" fillId="0" borderId="0" xfId="0" applyFont="1" applyFill="1" applyBorder="1" applyAlignment="1"/>
    <xf numFmtId="0" fontId="0" fillId="0" borderId="0" xfId="0" applyAlignment="1"/>
    <xf numFmtId="0" fontId="0" fillId="0" borderId="0" xfId="0" applyBorder="1" applyAlignment="1">
      <alignment wrapText="1"/>
    </xf>
    <xf numFmtId="9" fontId="0" fillId="0" borderId="0" xfId="0" applyNumberFormat="1" applyBorder="1" applyAlignment="1">
      <alignment horizontal="center"/>
    </xf>
    <xf numFmtId="3" fontId="0" fillId="0" borderId="0" xfId="0" applyNumberFormat="1" applyBorder="1" applyAlignment="1">
      <alignment horizontal="center"/>
    </xf>
    <xf numFmtId="3" fontId="0" fillId="0" borderId="8" xfId="0" applyNumberFormat="1" applyBorder="1" applyAlignment="1">
      <alignment horizontal="center"/>
    </xf>
    <xf numFmtId="3" fontId="0" fillId="0" borderId="12" xfId="0" applyNumberFormat="1" applyBorder="1" applyAlignment="1">
      <alignment horizontal="center"/>
    </xf>
    <xf numFmtId="0" fontId="41" fillId="0" borderId="0" xfId="0" applyFont="1"/>
    <xf numFmtId="0" fontId="2" fillId="0" borderId="7" xfId="0" applyFont="1" applyBorder="1"/>
    <xf numFmtId="0" fontId="2" fillId="0" borderId="8" xfId="0" applyFont="1" applyBorder="1"/>
    <xf numFmtId="0" fontId="2" fillId="0" borderId="10" xfId="0" applyFont="1" applyBorder="1"/>
    <xf numFmtId="0" fontId="2" fillId="0" borderId="0"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0" xfId="0" applyFont="1" applyBorder="1" applyAlignment="1">
      <alignment horizontal="center"/>
    </xf>
    <xf numFmtId="0" fontId="0" fillId="0" borderId="8" xfId="0" applyBorder="1" applyAlignment="1">
      <alignment horizontal="center"/>
    </xf>
    <xf numFmtId="3" fontId="0" fillId="0" borderId="7" xfId="0" applyNumberFormat="1" applyBorder="1" applyAlignment="1">
      <alignment horizontal="center"/>
    </xf>
    <xf numFmtId="9" fontId="0" fillId="0" borderId="7" xfId="0" applyNumberFormat="1" applyBorder="1" applyAlignment="1">
      <alignment horizontal="center"/>
    </xf>
    <xf numFmtId="9" fontId="0" fillId="0" borderId="9" xfId="0" applyNumberFormat="1" applyBorder="1" applyAlignment="1">
      <alignment horizontal="center"/>
    </xf>
    <xf numFmtId="0" fontId="0" fillId="0" borderId="0" xfId="0" applyBorder="1" applyAlignment="1">
      <alignment horizontal="center"/>
    </xf>
    <xf numFmtId="3" fontId="0" fillId="0" borderId="10" xfId="0" applyNumberFormat="1" applyBorder="1" applyAlignment="1">
      <alignment horizontal="center"/>
    </xf>
    <xf numFmtId="3" fontId="0" fillId="0" borderId="1" xfId="0" applyNumberFormat="1" applyBorder="1" applyAlignment="1">
      <alignment horizontal="center"/>
    </xf>
    <xf numFmtId="9" fontId="0" fillId="0" borderId="10" xfId="0" applyNumberFormat="1" applyBorder="1" applyAlignment="1">
      <alignment horizontal="center"/>
    </xf>
    <xf numFmtId="9" fontId="0" fillId="0" borderId="1" xfId="0" applyNumberFormat="1"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3" fontId="0" fillId="0" borderId="11" xfId="0" applyNumberFormat="1" applyBorder="1" applyAlignment="1">
      <alignment horizontal="center"/>
    </xf>
    <xf numFmtId="9" fontId="0" fillId="0" borderId="11" xfId="0" applyNumberFormat="1" applyBorder="1" applyAlignment="1">
      <alignment horizontal="center"/>
    </xf>
    <xf numFmtId="9" fontId="0" fillId="0" borderId="13" xfId="0" applyNumberFormat="1" applyBorder="1" applyAlignment="1">
      <alignment horizontal="center"/>
    </xf>
    <xf numFmtId="0" fontId="0" fillId="0" borderId="13" xfId="0" applyBorder="1" applyAlignment="1">
      <alignment horizontal="center"/>
    </xf>
    <xf numFmtId="0" fontId="0" fillId="0" borderId="12" xfId="0" applyFill="1" applyBorder="1" applyAlignment="1">
      <alignment horizontal="center"/>
    </xf>
    <xf numFmtId="3" fontId="0" fillId="0" borderId="13" xfId="0" applyNumberFormat="1" applyFill="1" applyBorder="1" applyAlignment="1">
      <alignment horizontal="center"/>
    </xf>
    <xf numFmtId="9" fontId="0" fillId="0" borderId="11" xfId="0" applyNumberFormat="1" applyFill="1" applyBorder="1" applyAlignment="1">
      <alignment horizontal="center"/>
    </xf>
    <xf numFmtId="9" fontId="0" fillId="0" borderId="13" xfId="0" applyNumberFormat="1" applyFill="1" applyBorder="1" applyAlignment="1">
      <alignment horizontal="center"/>
    </xf>
    <xf numFmtId="0" fontId="0" fillId="0" borderId="13" xfId="0" applyFill="1" applyBorder="1" applyAlignment="1">
      <alignment horizontal="center"/>
    </xf>
    <xf numFmtId="0" fontId="0" fillId="0" borderId="0" xfId="0" applyFill="1"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3" fontId="2" fillId="0" borderId="11" xfId="0" applyNumberFormat="1" applyFont="1" applyBorder="1" applyAlignment="1">
      <alignment horizontal="center"/>
    </xf>
    <xf numFmtId="3" fontId="2" fillId="0" borderId="13" xfId="0" applyNumberFormat="1" applyFont="1" applyBorder="1" applyAlignment="1">
      <alignment horizontal="center"/>
    </xf>
    <xf numFmtId="3" fontId="2" fillId="0" borderId="12" xfId="0" applyNumberFormat="1" applyFont="1" applyBorder="1" applyAlignment="1">
      <alignment horizontal="center"/>
    </xf>
    <xf numFmtId="0" fontId="0" fillId="0" borderId="11" xfId="0" applyFill="1" applyBorder="1" applyAlignment="1">
      <alignment horizontal="center"/>
    </xf>
    <xf numFmtId="1" fontId="2" fillId="0" borderId="14" xfId="0" applyNumberFormat="1" applyFont="1" applyBorder="1" applyAlignment="1">
      <alignment horizontal="center"/>
    </xf>
    <xf numFmtId="0" fontId="23" fillId="7" borderId="0" xfId="0" applyFont="1" applyFill="1" applyBorder="1" applyAlignment="1">
      <alignment horizontal="center" wrapText="1"/>
    </xf>
    <xf numFmtId="9" fontId="7" fillId="0" borderId="0" xfId="0" applyNumberFormat="1" applyFont="1" applyBorder="1" applyAlignment="1">
      <alignment horizontal="center"/>
    </xf>
    <xf numFmtId="3" fontId="7" fillId="0" borderId="0" xfId="0" applyNumberFormat="1" applyFont="1" applyBorder="1" applyAlignment="1">
      <alignment horizontal="center"/>
    </xf>
    <xf numFmtId="0" fontId="2" fillId="0" borderId="0" xfId="0" applyFont="1" applyBorder="1" applyAlignment="1">
      <alignment wrapText="1"/>
    </xf>
    <xf numFmtId="3" fontId="23" fillId="7" borderId="32" xfId="0" applyNumberFormat="1" applyFont="1" applyFill="1" applyBorder="1" applyAlignment="1">
      <alignment horizontal="center" wrapText="1"/>
    </xf>
    <xf numFmtId="3" fontId="2" fillId="0" borderId="32" xfId="0" applyNumberFormat="1" applyFont="1" applyBorder="1" applyAlignment="1">
      <alignment horizontal="center"/>
    </xf>
    <xf numFmtId="3" fontId="23" fillId="7" borderId="32" xfId="0" applyNumberFormat="1" applyFont="1" applyFill="1" applyBorder="1" applyAlignment="1">
      <alignment horizontal="center"/>
    </xf>
    <xf numFmtId="3" fontId="2" fillId="0" borderId="18" xfId="0" applyNumberFormat="1" applyFont="1" applyBorder="1" applyAlignment="1">
      <alignment horizontal="center"/>
    </xf>
    <xf numFmtId="3" fontId="24" fillId="7" borderId="0" xfId="0" applyNumberFormat="1" applyFont="1" applyFill="1" applyBorder="1" applyAlignment="1">
      <alignment horizontal="center"/>
    </xf>
    <xf numFmtId="3" fontId="0" fillId="0" borderId="0" xfId="0" applyNumberFormat="1" applyFont="1" applyBorder="1" applyAlignment="1">
      <alignment horizontal="center"/>
    </xf>
    <xf numFmtId="0" fontId="24" fillId="14" borderId="0" xfId="0" applyFont="1" applyFill="1" applyAlignment="1">
      <alignment horizontal="left"/>
    </xf>
    <xf numFmtId="0" fontId="3" fillId="17" borderId="0" xfId="0" applyFont="1" applyFill="1" applyAlignment="1">
      <alignment horizontal="center"/>
    </xf>
    <xf numFmtId="0" fontId="0" fillId="7" borderId="0" xfId="0" applyFill="1" applyAlignment="1">
      <alignment horizontal="center"/>
    </xf>
    <xf numFmtId="3" fontId="0" fillId="10" borderId="0" xfId="0" applyNumberFormat="1" applyFill="1" applyAlignment="1">
      <alignment horizontal="center"/>
    </xf>
    <xf numFmtId="3" fontId="2" fillId="8" borderId="0" xfId="0" applyNumberFormat="1" applyFont="1" applyFill="1" applyAlignment="1">
      <alignment horizontal="center"/>
    </xf>
    <xf numFmtId="3" fontId="2" fillId="12" borderId="0" xfId="0" applyNumberFormat="1" applyFont="1" applyFill="1" applyAlignment="1">
      <alignment horizontal="center"/>
    </xf>
    <xf numFmtId="0" fontId="2" fillId="8" borderId="0" xfId="0" applyFont="1" applyFill="1"/>
    <xf numFmtId="3" fontId="2" fillId="11" borderId="0" xfId="0" applyNumberFormat="1" applyFont="1" applyFill="1" applyAlignment="1">
      <alignment horizontal="center"/>
    </xf>
    <xf numFmtId="3" fontId="2" fillId="13" borderId="0" xfId="0" applyNumberFormat="1" applyFont="1" applyFill="1" applyAlignment="1">
      <alignment horizontal="center"/>
    </xf>
    <xf numFmtId="0" fontId="24" fillId="14" borderId="0" xfId="0" applyFont="1" applyFill="1" applyAlignment="1">
      <alignment horizontal="center" wrapText="1"/>
    </xf>
    <xf numFmtId="0" fontId="2" fillId="9" borderId="0" xfId="0" applyFont="1" applyFill="1" applyAlignment="1">
      <alignment horizontal="center"/>
    </xf>
    <xf numFmtId="3" fontId="7" fillId="9" borderId="0" xfId="0" applyNumberFormat="1" applyFont="1" applyFill="1" applyAlignment="1">
      <alignment horizontal="center"/>
    </xf>
    <xf numFmtId="3" fontId="7" fillId="8" borderId="0" xfId="0" applyNumberFormat="1" applyFont="1" applyFill="1" applyAlignment="1">
      <alignment horizontal="center"/>
    </xf>
    <xf numFmtId="165" fontId="2" fillId="9" borderId="0" xfId="0" applyNumberFormat="1" applyFont="1" applyFill="1" applyAlignment="1">
      <alignment horizontal="center"/>
    </xf>
    <xf numFmtId="166" fontId="2" fillId="9" borderId="0" xfId="0" applyNumberFormat="1" applyFont="1" applyFill="1" applyAlignment="1">
      <alignment horizontal="center"/>
    </xf>
    <xf numFmtId="174" fontId="2" fillId="9" borderId="0" xfId="0" applyNumberFormat="1" applyFont="1" applyFill="1" applyAlignment="1">
      <alignment horizontal="center"/>
    </xf>
    <xf numFmtId="164" fontId="0" fillId="13" borderId="0" xfId="0" applyNumberFormat="1" applyFill="1" applyAlignment="1">
      <alignment horizontal="center"/>
    </xf>
    <xf numFmtId="0" fontId="23" fillId="14" borderId="0" xfId="0" applyFont="1" applyFill="1" applyAlignment="1">
      <alignment horizontal="center"/>
    </xf>
    <xf numFmtId="0" fontId="2" fillId="12" borderId="0" xfId="0" applyFont="1" applyFill="1"/>
    <xf numFmtId="3" fontId="7" fillId="12" borderId="0" xfId="0" applyNumberFormat="1" applyFont="1" applyFill="1" applyAlignment="1">
      <alignment horizontal="center"/>
    </xf>
    <xf numFmtId="167" fontId="2" fillId="0" borderId="0" xfId="0" applyNumberFormat="1" applyFont="1" applyBorder="1" applyAlignment="1">
      <alignment horizontal="center"/>
    </xf>
    <xf numFmtId="0" fontId="23" fillId="14" borderId="0" xfId="0" applyFont="1" applyFill="1" applyAlignment="1">
      <alignment horizontal="center"/>
    </xf>
    <xf numFmtId="164" fontId="26" fillId="0" borderId="47" xfId="0" applyNumberFormat="1" applyFont="1" applyBorder="1" applyAlignment="1">
      <alignment horizontal="center"/>
    </xf>
    <xf numFmtId="164" fontId="26" fillId="0" borderId="48" xfId="0" applyNumberFormat="1" applyFont="1" applyBorder="1" applyAlignment="1">
      <alignment horizontal="center"/>
    </xf>
    <xf numFmtId="164" fontId="26" fillId="0" borderId="49" xfId="0" applyNumberFormat="1" applyFont="1" applyBorder="1" applyAlignment="1">
      <alignment horizontal="center"/>
    </xf>
    <xf numFmtId="164" fontId="26" fillId="0" borderId="72" xfId="0" applyNumberFormat="1" applyFont="1" applyBorder="1" applyAlignment="1">
      <alignment horizontal="center"/>
    </xf>
    <xf numFmtId="164" fontId="27" fillId="0" borderId="21" xfId="0" applyNumberFormat="1" applyFont="1" applyBorder="1" applyAlignment="1">
      <alignment horizontal="center"/>
    </xf>
    <xf numFmtId="164" fontId="27" fillId="0" borderId="72" xfId="0" applyNumberFormat="1" applyFont="1" applyBorder="1" applyAlignment="1">
      <alignment horizontal="center"/>
    </xf>
    <xf numFmtId="0" fontId="27" fillId="0" borderId="27" xfId="0" applyFont="1" applyBorder="1"/>
    <xf numFmtId="0" fontId="27" fillId="0" borderId="26" xfId="0" applyFont="1" applyBorder="1" applyAlignment="1">
      <alignment horizontal="right"/>
    </xf>
    <xf numFmtId="3" fontId="7" fillId="9" borderId="0" xfId="0" applyNumberFormat="1" applyFont="1" applyFill="1" applyAlignment="1">
      <alignment horizontal="left"/>
    </xf>
    <xf numFmtId="4" fontId="7" fillId="9" borderId="0" xfId="0" applyNumberFormat="1" applyFont="1" applyFill="1" applyAlignment="1">
      <alignment horizontal="center"/>
    </xf>
    <xf numFmtId="164" fontId="7" fillId="9" borderId="0" xfId="0" applyNumberFormat="1" applyFont="1" applyFill="1" applyAlignment="1">
      <alignment horizontal="center"/>
    </xf>
    <xf numFmtId="164" fontId="2" fillId="13" borderId="0" xfId="0" applyNumberFormat="1" applyFont="1" applyFill="1" applyAlignment="1">
      <alignment horizontal="center"/>
    </xf>
    <xf numFmtId="0" fontId="0" fillId="0" borderId="3" xfId="0" applyBorder="1" applyAlignment="1">
      <alignment horizontal="center"/>
    </xf>
    <xf numFmtId="0" fontId="0" fillId="0" borderId="14" xfId="0" applyBorder="1" applyAlignment="1">
      <alignment horizontal="center"/>
    </xf>
    <xf numFmtId="0" fontId="2" fillId="0" borderId="15" xfId="0" applyFont="1" applyBorder="1" applyAlignment="1">
      <alignment horizontal="center"/>
    </xf>
    <xf numFmtId="0" fontId="2" fillId="0" borderId="3" xfId="0" applyFont="1" applyFill="1" applyBorder="1" applyAlignment="1">
      <alignment horizontal="center"/>
    </xf>
    <xf numFmtId="0" fontId="2" fillId="0" borderId="14" xfId="0" applyFont="1" applyBorder="1" applyAlignment="1">
      <alignment horizontal="center" wrapText="1"/>
    </xf>
    <xf numFmtId="0" fontId="0" fillId="7" borderId="0" xfId="0" applyFill="1" applyAlignment="1">
      <alignment horizontal="right"/>
    </xf>
    <xf numFmtId="7" fontId="0" fillId="7" borderId="0" xfId="0" applyNumberFormat="1" applyFill="1" applyAlignment="1">
      <alignment horizontal="center"/>
    </xf>
    <xf numFmtId="0" fontId="0" fillId="9" borderId="0" xfId="0" applyFont="1" applyFill="1"/>
    <xf numFmtId="0" fontId="0" fillId="9" borderId="0" xfId="0" applyFont="1" applyFill="1" applyAlignment="1">
      <alignment horizontal="center"/>
    </xf>
    <xf numFmtId="2" fontId="0" fillId="9" borderId="0" xfId="0" applyNumberFormat="1" applyFont="1" applyFill="1" applyAlignment="1">
      <alignment horizontal="center"/>
    </xf>
    <xf numFmtId="178" fontId="0" fillId="9" borderId="0" xfId="0" applyNumberFormat="1" applyFont="1" applyFill="1" applyAlignment="1">
      <alignment horizontal="center"/>
    </xf>
    <xf numFmtId="164" fontId="9" fillId="7" borderId="0" xfId="0" applyNumberFormat="1" applyFont="1" applyFill="1" applyAlignment="1">
      <alignment horizontal="center"/>
    </xf>
    <xf numFmtId="174" fontId="0" fillId="9" borderId="0" xfId="0" applyNumberFormat="1" applyFont="1" applyFill="1" applyAlignment="1">
      <alignment horizontal="center"/>
    </xf>
    <xf numFmtId="179" fontId="0" fillId="9" borderId="0" xfId="0" applyNumberFormat="1" applyFont="1" applyFill="1" applyAlignment="1">
      <alignment horizontal="center"/>
    </xf>
    <xf numFmtId="0" fontId="23" fillId="14" borderId="0" xfId="0" applyFont="1" applyFill="1" applyAlignment="1">
      <alignment horizontal="center"/>
    </xf>
    <xf numFmtId="2" fontId="2" fillId="0" borderId="3" xfId="0" applyNumberFormat="1" applyFont="1" applyFill="1" applyBorder="1" applyAlignment="1">
      <alignment horizontal="center"/>
    </xf>
    <xf numFmtId="167" fontId="2" fillId="0" borderId="4" xfId="2" applyNumberFormat="1" applyFont="1" applyBorder="1" applyAlignment="1">
      <alignment horizontal="center"/>
    </xf>
    <xf numFmtId="165" fontId="0" fillId="5" borderId="14" xfId="0" applyNumberFormat="1" applyFill="1" applyBorder="1" applyAlignment="1">
      <alignment horizontal="center"/>
    </xf>
    <xf numFmtId="2" fontId="0" fillId="0" borderId="0" xfId="0" applyNumberFormat="1" applyBorder="1" applyAlignment="1">
      <alignment horizontal="center"/>
    </xf>
    <xf numFmtId="10" fontId="2" fillId="0" borderId="0" xfId="0" applyNumberFormat="1" applyFont="1" applyBorder="1" applyAlignment="1">
      <alignment horizontal="center"/>
    </xf>
    <xf numFmtId="2" fontId="0" fillId="0" borderId="0" xfId="0" applyNumberFormat="1" applyFont="1" applyFill="1" applyBorder="1" applyAlignment="1">
      <alignment horizontal="center"/>
    </xf>
    <xf numFmtId="170" fontId="2" fillId="0" borderId="3" xfId="0" applyNumberFormat="1" applyFont="1" applyFill="1" applyBorder="1" applyAlignment="1">
      <alignment horizontal="center"/>
    </xf>
    <xf numFmtId="0" fontId="0" fillId="0" borderId="14" xfId="0" applyFont="1" applyFill="1" applyBorder="1" applyAlignment="1">
      <alignment horizontal="center"/>
    </xf>
    <xf numFmtId="169" fontId="0" fillId="0" borderId="3" xfId="0" applyNumberFormat="1" applyFont="1" applyFill="1" applyBorder="1" applyAlignment="1">
      <alignment horizontal="center"/>
    </xf>
    <xf numFmtId="174" fontId="0" fillId="0" borderId="3" xfId="0" applyNumberFormat="1" applyFont="1" applyFill="1" applyBorder="1" applyAlignment="1">
      <alignment horizontal="center"/>
    </xf>
    <xf numFmtId="3" fontId="2" fillId="0" borderId="31" xfId="0" applyNumberFormat="1" applyFont="1" applyFill="1" applyBorder="1"/>
    <xf numFmtId="3" fontId="2" fillId="0" borderId="17" xfId="0" applyNumberFormat="1" applyFont="1" applyFill="1" applyBorder="1"/>
    <xf numFmtId="7" fontId="12" fillId="3" borderId="3" xfId="1" applyNumberFormat="1" applyFont="1" applyFill="1" applyBorder="1" applyAlignment="1">
      <alignment horizontal="center"/>
    </xf>
    <xf numFmtId="0" fontId="0" fillId="0" borderId="7" xfId="0" applyBorder="1" applyAlignment="1">
      <alignment horizontal="center" wrapText="1"/>
    </xf>
    <xf numFmtId="0" fontId="2" fillId="0" borderId="15" xfId="0" applyFont="1" applyBorder="1"/>
    <xf numFmtId="0" fontId="0" fillId="0" borderId="8" xfId="0" applyBorder="1"/>
    <xf numFmtId="0" fontId="2" fillId="0" borderId="25" xfId="0" applyFont="1" applyBorder="1"/>
    <xf numFmtId="0" fontId="0" fillId="0" borderId="19" xfId="0" applyFont="1" applyFill="1" applyBorder="1" applyAlignment="1">
      <alignment horizontal="center"/>
    </xf>
    <xf numFmtId="0" fontId="0" fillId="0" borderId="20" xfId="0" applyFont="1" applyFill="1" applyBorder="1" applyAlignment="1">
      <alignment horizontal="center"/>
    </xf>
    <xf numFmtId="0" fontId="2" fillId="0" borderId="14" xfId="0" applyFont="1" applyFill="1" applyBorder="1" applyAlignment="1">
      <alignment horizontal="center" wrapText="1"/>
    </xf>
    <xf numFmtId="0" fontId="0" fillId="0" borderId="19" xfId="0" applyFont="1" applyFill="1" applyBorder="1"/>
    <xf numFmtId="0" fontId="0" fillId="0" borderId="19" xfId="0" applyFill="1" applyBorder="1" applyAlignment="1">
      <alignment horizontal="center"/>
    </xf>
    <xf numFmtId="2" fontId="0" fillId="0" borderId="11" xfId="0" applyNumberFormat="1" applyFill="1" applyBorder="1" applyAlignment="1">
      <alignment horizontal="center"/>
    </xf>
    <xf numFmtId="4" fontId="0" fillId="0" borderId="19" xfId="0" applyNumberFormat="1" applyFont="1" applyFill="1" applyBorder="1" applyAlignment="1">
      <alignment horizontal="center"/>
    </xf>
    <xf numFmtId="4" fontId="0" fillId="0" borderId="19" xfId="0" applyNumberFormat="1" applyBorder="1" applyAlignment="1">
      <alignment horizontal="center"/>
    </xf>
    <xf numFmtId="0" fontId="2" fillId="0" borderId="15" xfId="0" applyFont="1" applyFill="1" applyBorder="1"/>
    <xf numFmtId="2" fontId="0" fillId="0" borderId="20" xfId="0" applyNumberFormat="1" applyFont="1" applyFill="1" applyBorder="1" applyAlignment="1">
      <alignment horizontal="center"/>
    </xf>
    <xf numFmtId="2" fontId="0" fillId="0" borderId="21" xfId="0" applyNumberFormat="1" applyFont="1" applyFill="1" applyBorder="1" applyAlignment="1">
      <alignment horizontal="center"/>
    </xf>
    <xf numFmtId="4" fontId="0" fillId="0" borderId="20" xfId="0" applyNumberFormat="1" applyFont="1" applyFill="1" applyBorder="1" applyAlignment="1">
      <alignment horizontal="center"/>
    </xf>
    <xf numFmtId="2" fontId="2" fillId="0" borderId="20" xfId="0" applyNumberFormat="1" applyFont="1" applyFill="1" applyBorder="1" applyAlignment="1">
      <alignment horizontal="center"/>
    </xf>
    <xf numFmtId="4" fontId="2" fillId="3" borderId="16" xfId="0" applyNumberFormat="1" applyFont="1" applyFill="1" applyBorder="1" applyAlignment="1">
      <alignment horizontal="center"/>
    </xf>
    <xf numFmtId="0" fontId="0" fillId="0" borderId="14" xfId="0" applyFont="1" applyFill="1" applyBorder="1"/>
    <xf numFmtId="0" fontId="0" fillId="0" borderId="14" xfId="0" applyFill="1" applyBorder="1" applyAlignment="1">
      <alignment horizontal="center"/>
    </xf>
    <xf numFmtId="2" fontId="0" fillId="0" borderId="7" xfId="0" applyNumberFormat="1" applyFill="1" applyBorder="1" applyAlignment="1">
      <alignment horizontal="center"/>
    </xf>
    <xf numFmtId="4" fontId="0" fillId="0" borderId="14" xfId="0" applyNumberFormat="1" applyFont="1" applyFill="1" applyBorder="1" applyAlignment="1">
      <alignment horizontal="center"/>
    </xf>
    <xf numFmtId="4" fontId="0" fillId="0" borderId="14" xfId="0" applyNumberFormat="1" applyBorder="1" applyAlignment="1">
      <alignment horizontal="center"/>
    </xf>
    <xf numFmtId="170" fontId="0" fillId="0" borderId="19" xfId="0" applyNumberFormat="1" applyFill="1" applyBorder="1" applyAlignment="1">
      <alignment horizontal="center"/>
    </xf>
    <xf numFmtId="170" fontId="0" fillId="0" borderId="11" xfId="0" applyNumberFormat="1" applyFill="1" applyBorder="1" applyAlignment="1">
      <alignment horizontal="center"/>
    </xf>
    <xf numFmtId="172" fontId="0" fillId="0" borderId="19" xfId="0" applyNumberFormat="1" applyFont="1" applyFill="1" applyBorder="1" applyAlignment="1">
      <alignment horizontal="center"/>
    </xf>
    <xf numFmtId="172" fontId="0" fillId="0" borderId="19" xfId="0" applyNumberFormat="1" applyBorder="1" applyAlignment="1">
      <alignment horizontal="center"/>
    </xf>
    <xf numFmtId="0" fontId="0" fillId="0" borderId="20" xfId="0" applyFill="1" applyBorder="1" applyAlignment="1">
      <alignment horizontal="center"/>
    </xf>
    <xf numFmtId="2" fontId="0" fillId="0" borderId="20" xfId="0" applyNumberFormat="1" applyFill="1" applyBorder="1" applyAlignment="1">
      <alignment horizontal="center"/>
    </xf>
    <xf numFmtId="2" fontId="0" fillId="0" borderId="21" xfId="0" applyNumberFormat="1" applyFill="1" applyBorder="1" applyAlignment="1">
      <alignment horizontal="center"/>
    </xf>
    <xf numFmtId="170" fontId="0" fillId="0" borderId="14" xfId="0" applyNumberFormat="1" applyFill="1" applyBorder="1" applyAlignment="1">
      <alignment horizontal="center"/>
    </xf>
    <xf numFmtId="170" fontId="0" fillId="0" borderId="7" xfId="0" applyNumberFormat="1" applyFill="1" applyBorder="1" applyAlignment="1">
      <alignment horizontal="center"/>
    </xf>
    <xf numFmtId="172" fontId="0" fillId="0" borderId="14" xfId="0" applyNumberFormat="1" applyFont="1" applyFill="1" applyBorder="1" applyAlignment="1">
      <alignment horizontal="center"/>
    </xf>
    <xf numFmtId="172" fontId="0" fillId="0" borderId="14" xfId="0" applyNumberFormat="1" applyBorder="1" applyAlignment="1">
      <alignment horizontal="center"/>
    </xf>
    <xf numFmtId="170" fontId="0" fillId="0" borderId="20" xfId="0" applyNumberFormat="1" applyFill="1" applyBorder="1" applyAlignment="1">
      <alignment horizontal="center"/>
    </xf>
    <xf numFmtId="170" fontId="0" fillId="0" borderId="21" xfId="0" applyNumberFormat="1" applyFill="1" applyBorder="1" applyAlignment="1">
      <alignment horizontal="center"/>
    </xf>
    <xf numFmtId="172" fontId="0" fillId="0" borderId="20" xfId="0" applyNumberFormat="1" applyFont="1" applyFill="1" applyBorder="1" applyAlignment="1">
      <alignment horizontal="center"/>
    </xf>
    <xf numFmtId="172" fontId="2" fillId="3" borderId="16" xfId="0" applyNumberFormat="1" applyFont="1" applyFill="1" applyBorder="1" applyAlignment="1">
      <alignment horizontal="center"/>
    </xf>
    <xf numFmtId="0" fontId="0" fillId="0" borderId="19" xfId="0" applyFont="1" applyBorder="1"/>
    <xf numFmtId="3" fontId="0" fillId="0" borderId="20" xfId="0" applyNumberFormat="1" applyFill="1" applyBorder="1" applyAlignment="1">
      <alignment horizontal="center"/>
    </xf>
    <xf numFmtId="3" fontId="0" fillId="0" borderId="21" xfId="0" applyNumberFormat="1" applyFill="1" applyBorder="1" applyAlignment="1">
      <alignment horizontal="center"/>
    </xf>
    <xf numFmtId="0" fontId="2" fillId="0" borderId="51" xfId="0" applyFont="1" applyFill="1" applyBorder="1"/>
    <xf numFmtId="0" fontId="2" fillId="0" borderId="37" xfId="0" applyFont="1" applyFill="1" applyBorder="1"/>
    <xf numFmtId="0" fontId="2" fillId="0" borderId="16" xfId="0" applyFont="1" applyFill="1" applyBorder="1" applyAlignment="1">
      <alignment horizontal="center"/>
    </xf>
    <xf numFmtId="173" fontId="0" fillId="0" borderId="11" xfId="0" applyNumberFormat="1" applyFont="1" applyFill="1" applyBorder="1" applyAlignment="1">
      <alignment horizontal="center"/>
    </xf>
    <xf numFmtId="173" fontId="0" fillId="0" borderId="58" xfId="0" applyNumberFormat="1" applyFont="1" applyFill="1" applyBorder="1" applyAlignment="1">
      <alignment horizontal="center"/>
    </xf>
    <xf numFmtId="2" fontId="2" fillId="3" borderId="28" xfId="0" applyNumberFormat="1" applyFont="1" applyFill="1" applyBorder="1" applyAlignment="1">
      <alignment horizontal="center"/>
    </xf>
    <xf numFmtId="2" fontId="2" fillId="3" borderId="24" xfId="0" applyNumberFormat="1" applyFont="1" applyFill="1" applyBorder="1" applyAlignment="1">
      <alignment horizontal="center"/>
    </xf>
    <xf numFmtId="0" fontId="2" fillId="0" borderId="17" xfId="0" applyFont="1" applyFill="1" applyBorder="1" applyAlignment="1">
      <alignment horizontal="center"/>
    </xf>
    <xf numFmtId="0" fontId="2" fillId="0" borderId="19" xfId="0" applyFont="1" applyFill="1" applyBorder="1" applyAlignment="1">
      <alignment horizontal="center"/>
    </xf>
    <xf numFmtId="0" fontId="2" fillId="0" borderId="14" xfId="0" applyFont="1" applyFill="1" applyBorder="1" applyAlignment="1">
      <alignment horizontal="center"/>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164" fontId="2" fillId="0" borderId="17" xfId="0" applyNumberFormat="1" applyFont="1" applyFill="1" applyBorder="1" applyAlignment="1">
      <alignment horizontal="center"/>
    </xf>
    <xf numFmtId="164" fontId="0" fillId="11" borderId="0" xfId="0" applyNumberFormat="1" applyFont="1" applyFill="1" applyAlignment="1">
      <alignment horizontal="center"/>
    </xf>
    <xf numFmtId="164" fontId="2" fillId="15" borderId="0" xfId="0" applyNumberFormat="1" applyFont="1" applyFill="1" applyAlignment="1">
      <alignment horizontal="center"/>
    </xf>
    <xf numFmtId="0" fontId="23" fillId="8" borderId="0" xfId="0" applyFont="1" applyFill="1"/>
    <xf numFmtId="0" fontId="9" fillId="8" borderId="0" xfId="0" applyFont="1" applyFill="1"/>
    <xf numFmtId="164" fontId="3" fillId="11" borderId="0" xfId="0" applyNumberFormat="1" applyFont="1" applyFill="1" applyAlignment="1">
      <alignment horizontal="center"/>
    </xf>
    <xf numFmtId="0" fontId="23" fillId="7" borderId="31" xfId="0" applyFont="1" applyFill="1" applyBorder="1" applyAlignment="1">
      <alignment horizontal="center" wrapText="1"/>
    </xf>
    <xf numFmtId="0" fontId="2" fillId="9" borderId="27" xfId="0" applyFont="1" applyFill="1" applyBorder="1"/>
    <xf numFmtId="164" fontId="0" fillId="13" borderId="25" xfId="0" applyNumberFormat="1" applyFill="1" applyBorder="1" applyAlignment="1">
      <alignment horizontal="center"/>
    </xf>
    <xf numFmtId="164" fontId="2" fillId="13" borderId="17" xfId="0" applyNumberFormat="1" applyFont="1" applyFill="1" applyBorder="1" applyAlignment="1">
      <alignment horizontal="center"/>
    </xf>
    <xf numFmtId="0" fontId="38" fillId="7" borderId="17" xfId="0" applyFont="1" applyFill="1" applyBorder="1" applyAlignment="1">
      <alignment vertical="top" wrapText="1"/>
    </xf>
    <xf numFmtId="0" fontId="35" fillId="28" borderId="17" xfId="0" applyFont="1" applyFill="1" applyBorder="1" applyAlignment="1">
      <alignment vertical="top" wrapText="1"/>
    </xf>
    <xf numFmtId="0" fontId="38" fillId="27" borderId="17" xfId="0" applyFont="1" applyFill="1" applyBorder="1" applyAlignment="1">
      <alignment vertical="top" wrapText="1"/>
    </xf>
    <xf numFmtId="0" fontId="2" fillId="0" borderId="7" xfId="0" applyFont="1" applyBorder="1" applyAlignment="1">
      <alignment horizontal="center"/>
    </xf>
    <xf numFmtId="0" fontId="2" fillId="0" borderId="9" xfId="0" applyFont="1" applyBorder="1" applyAlignment="1">
      <alignment horizontal="center"/>
    </xf>
    <xf numFmtId="0" fontId="23" fillId="14" borderId="0" xfId="0" applyFont="1" applyFill="1" applyAlignment="1">
      <alignment horizontal="center"/>
    </xf>
    <xf numFmtId="0" fontId="2" fillId="0" borderId="3" xfId="0" applyFont="1" applyBorder="1" applyAlignment="1">
      <alignment horizontal="center"/>
    </xf>
    <xf numFmtId="0" fontId="2" fillId="0" borderId="0" xfId="0" applyFont="1" applyFill="1" applyBorder="1" applyAlignment="1">
      <alignment horizontal="center"/>
    </xf>
    <xf numFmtId="0" fontId="0" fillId="0" borderId="14" xfId="0" applyBorder="1" applyAlignment="1">
      <alignment horizontal="center"/>
    </xf>
    <xf numFmtId="0" fontId="2" fillId="0" borderId="3" xfId="0" applyFont="1" applyFill="1" applyBorder="1" applyAlignment="1">
      <alignment horizontal="center"/>
    </xf>
    <xf numFmtId="0" fontId="2" fillId="0" borderId="12" xfId="0" applyFont="1" applyBorder="1" applyAlignment="1">
      <alignment horizontal="center"/>
    </xf>
    <xf numFmtId="9" fontId="0" fillId="0" borderId="8" xfId="0" applyNumberFormat="1" applyBorder="1" applyAlignment="1">
      <alignment horizontal="center"/>
    </xf>
    <xf numFmtId="9" fontId="0" fillId="0" borderId="12" xfId="0" applyNumberFormat="1" applyBorder="1" applyAlignment="1">
      <alignment horizontal="center"/>
    </xf>
    <xf numFmtId="9" fontId="0" fillId="0" borderId="12" xfId="0" applyNumberFormat="1" applyFill="1" applyBorder="1" applyAlignment="1">
      <alignment horizontal="center"/>
    </xf>
    <xf numFmtId="0" fontId="2" fillId="0" borderId="0" xfId="0" applyFont="1" applyBorder="1"/>
    <xf numFmtId="3" fontId="2" fillId="0" borderId="0" xfId="0" applyNumberFormat="1" applyFont="1" applyBorder="1" applyAlignment="1">
      <alignment horizontal="center"/>
    </xf>
    <xf numFmtId="3" fontId="2" fillId="0" borderId="4" xfId="0" applyNumberFormat="1" applyFont="1" applyBorder="1" applyAlignment="1">
      <alignment horizontal="center"/>
    </xf>
    <xf numFmtId="3" fontId="2" fillId="0" borderId="5" xfId="0" applyNumberFormat="1" applyFont="1" applyBorder="1" applyAlignment="1">
      <alignment horizontal="center"/>
    </xf>
    <xf numFmtId="3" fontId="2" fillId="0" borderId="6" xfId="0" applyNumberFormat="1" applyFont="1" applyBorder="1" applyAlignment="1">
      <alignment horizontal="center"/>
    </xf>
    <xf numFmtId="0" fontId="2" fillId="0" borderId="4" xfId="0" applyFont="1" applyFill="1" applyBorder="1" applyAlignment="1">
      <alignment horizontal="center"/>
    </xf>
    <xf numFmtId="3" fontId="2" fillId="0" borderId="4" xfId="0" applyNumberFormat="1" applyFont="1" applyFill="1" applyBorder="1" applyAlignment="1">
      <alignment horizontal="center"/>
    </xf>
    <xf numFmtId="3" fontId="2" fillId="0" borderId="6" xfId="0" applyNumberFormat="1"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3" fontId="2" fillId="0" borderId="10" xfId="0" applyNumberFormat="1" applyFont="1" applyBorder="1" applyAlignment="1">
      <alignment horizontal="center"/>
    </xf>
    <xf numFmtId="3" fontId="2" fillId="0" borderId="1" xfId="0" applyNumberFormat="1" applyFont="1" applyBorder="1" applyAlignment="1">
      <alignment horizontal="center"/>
    </xf>
    <xf numFmtId="0" fontId="0" fillId="0" borderId="2" xfId="0" applyBorder="1"/>
    <xf numFmtId="0" fontId="2" fillId="0" borderId="2" xfId="0" applyFont="1" applyBorder="1"/>
    <xf numFmtId="0" fontId="2" fillId="0" borderId="1" xfId="0" applyFont="1" applyBorder="1"/>
    <xf numFmtId="0" fontId="2" fillId="0" borderId="13" xfId="0" applyFont="1" applyBorder="1"/>
    <xf numFmtId="3" fontId="24" fillId="7" borderId="2" xfId="0" applyNumberFormat="1" applyFont="1" applyFill="1" applyBorder="1" applyAlignment="1">
      <alignment horizontal="center"/>
    </xf>
    <xf numFmtId="3" fontId="0" fillId="0" borderId="2" xfId="0" applyNumberFormat="1" applyFont="1" applyBorder="1" applyAlignment="1">
      <alignment horizontal="center"/>
    </xf>
    <xf numFmtId="3" fontId="0" fillId="0" borderId="19" xfId="0" applyNumberFormat="1" applyFont="1" applyBorder="1" applyAlignment="1">
      <alignment horizontal="center"/>
    </xf>
    <xf numFmtId="1" fontId="0" fillId="0" borderId="0" xfId="0" applyNumberFormat="1" applyFont="1" applyBorder="1" applyAlignment="1">
      <alignment horizontal="center"/>
    </xf>
    <xf numFmtId="0" fontId="0" fillId="0" borderId="0" xfId="0" applyFont="1" applyBorder="1" applyAlignment="1">
      <alignment wrapText="1"/>
    </xf>
    <xf numFmtId="3" fontId="43" fillId="7" borderId="0" xfId="0" applyNumberFormat="1" applyFont="1" applyFill="1" applyBorder="1" applyAlignment="1">
      <alignment horizontal="center"/>
    </xf>
    <xf numFmtId="0" fontId="0" fillId="0" borderId="0" xfId="0" applyFont="1" applyBorder="1"/>
    <xf numFmtId="3" fontId="24" fillId="7" borderId="0" xfId="0" applyNumberFormat="1" applyFont="1" applyFill="1" applyBorder="1"/>
    <xf numFmtId="3" fontId="2" fillId="0" borderId="31" xfId="0" applyNumberFormat="1" applyFont="1" applyBorder="1" applyAlignment="1">
      <alignment horizontal="center"/>
    </xf>
    <xf numFmtId="1" fontId="2" fillId="0" borderId="17" xfId="0" applyNumberFormat="1" applyFont="1" applyBorder="1" applyAlignment="1">
      <alignment horizontal="center"/>
    </xf>
    <xf numFmtId="3" fontId="24" fillId="7" borderId="2" xfId="0" applyNumberFormat="1" applyFont="1" applyFill="1" applyBorder="1"/>
    <xf numFmtId="9" fontId="7" fillId="0" borderId="0" xfId="0" applyNumberFormat="1" applyFont="1" applyBorder="1" applyAlignment="1">
      <alignment horizontal="right"/>
    </xf>
    <xf numFmtId="0" fontId="2" fillId="7" borderId="0" xfId="0" applyFont="1" applyFill="1" applyAlignment="1">
      <alignment horizontal="right"/>
    </xf>
    <xf numFmtId="0" fontId="2" fillId="0" borderId="4" xfId="0" applyFont="1" applyBorder="1"/>
    <xf numFmtId="0" fontId="23" fillId="14" borderId="0" xfId="0" applyFont="1" applyFill="1" applyAlignment="1">
      <alignment horizontal="center"/>
    </xf>
    <xf numFmtId="0" fontId="23" fillId="14" borderId="54" xfId="0" applyFont="1" applyFill="1" applyBorder="1"/>
    <xf numFmtId="0" fontId="2" fillId="16" borderId="55" xfId="0" applyFont="1" applyFill="1" applyBorder="1"/>
    <xf numFmtId="0" fontId="23" fillId="14" borderId="61" xfId="0" applyFont="1" applyFill="1" applyBorder="1" applyAlignment="1">
      <alignment horizontal="center"/>
    </xf>
    <xf numFmtId="0" fontId="23" fillId="14" borderId="60" xfId="0" applyFont="1" applyFill="1" applyBorder="1" applyAlignment="1">
      <alignment horizontal="center"/>
    </xf>
    <xf numFmtId="164" fontId="2" fillId="11" borderId="15" xfId="0" applyNumberFormat="1" applyFont="1" applyFill="1" applyBorder="1" applyAlignment="1">
      <alignment horizontal="center"/>
    </xf>
    <xf numFmtId="164" fontId="2" fillId="11" borderId="20" xfId="0" applyNumberFormat="1" applyFont="1" applyFill="1" applyBorder="1" applyAlignment="1">
      <alignment horizontal="center"/>
    </xf>
    <xf numFmtId="164" fontId="2" fillId="11" borderId="16" xfId="0" applyNumberFormat="1" applyFont="1" applyFill="1" applyBorder="1" applyAlignment="1">
      <alignment horizontal="center"/>
    </xf>
    <xf numFmtId="3" fontId="2" fillId="0" borderId="5" xfId="0" applyNumberFormat="1" applyFont="1" applyFill="1" applyBorder="1" applyAlignment="1">
      <alignment horizontal="center"/>
    </xf>
    <xf numFmtId="164" fontId="0" fillId="14" borderId="0" xfId="0" applyNumberFormat="1" applyFill="1" applyAlignment="1">
      <alignment horizont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wrapText="1"/>
    </xf>
    <xf numFmtId="0" fontId="2" fillId="0" borderId="8" xfId="0" applyFont="1" applyBorder="1" applyAlignment="1">
      <alignment horizontal="center"/>
    </xf>
    <xf numFmtId="0" fontId="23" fillId="14" borderId="0" xfId="0" applyFont="1" applyFill="1" applyAlignment="1">
      <alignment horizontal="center"/>
    </xf>
    <xf numFmtId="0" fontId="33" fillId="0" borderId="54" xfId="0" applyFont="1" applyBorder="1" applyAlignment="1">
      <alignment horizontal="center" vertical="center"/>
    </xf>
    <xf numFmtId="0" fontId="33" fillId="0" borderId="67" xfId="0" applyFont="1" applyBorder="1" applyAlignment="1">
      <alignment horizontal="center" vertical="center"/>
    </xf>
    <xf numFmtId="0" fontId="33" fillId="0" borderId="68" xfId="0" applyFont="1" applyBorder="1" applyAlignment="1">
      <alignment horizontal="center" vertical="center"/>
    </xf>
    <xf numFmtId="0" fontId="33" fillId="0" borderId="54" xfId="0" applyFont="1" applyFill="1" applyBorder="1" applyAlignment="1">
      <alignment horizontal="center" vertical="center"/>
    </xf>
    <xf numFmtId="0" fontId="33" fillId="0" borderId="67" xfId="0" applyFont="1" applyFill="1" applyBorder="1" applyAlignment="1">
      <alignment horizontal="center" vertical="center"/>
    </xf>
    <xf numFmtId="0" fontId="33" fillId="0" borderId="68" xfId="0" applyFont="1" applyFill="1" applyBorder="1" applyAlignment="1">
      <alignment horizontal="center" vertical="center"/>
    </xf>
    <xf numFmtId="0" fontId="2" fillId="0" borderId="0" xfId="0" applyFont="1" applyAlignment="1">
      <alignment horizontal="center"/>
    </xf>
    <xf numFmtId="0" fontId="2" fillId="0" borderId="12" xfId="0" applyFont="1" applyBorder="1" applyAlignment="1">
      <alignment horizontal="center" wrapText="1"/>
    </xf>
    <xf numFmtId="0" fontId="2" fillId="0" borderId="3" xfId="0" applyFont="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5" fillId="14" borderId="0" xfId="0" applyFont="1" applyFill="1" applyAlignment="1">
      <alignment horizontal="center" wrapText="1"/>
    </xf>
    <xf numFmtId="0" fontId="23" fillId="14" borderId="7" xfId="0" applyFont="1" applyFill="1" applyBorder="1" applyAlignment="1">
      <alignment horizontal="center" wrapText="1"/>
    </xf>
    <xf numFmtId="0" fontId="23" fillId="14" borderId="8" xfId="0" applyFont="1" applyFill="1" applyBorder="1" applyAlignment="1">
      <alignment horizontal="center" wrapText="1"/>
    </xf>
    <xf numFmtId="0" fontId="23" fillId="14" borderId="9" xfId="0" applyFont="1" applyFill="1" applyBorder="1" applyAlignment="1">
      <alignment horizontal="center" wrapText="1"/>
    </xf>
    <xf numFmtId="0" fontId="23" fillId="14" borderId="0" xfId="0" applyFont="1" applyFill="1" applyAlignment="1">
      <alignment horizontal="center" wrapText="1"/>
    </xf>
    <xf numFmtId="0" fontId="26" fillId="0" borderId="0" xfId="0" applyFont="1" applyAlignment="1">
      <alignment horizontal="left" vertical="top" wrapText="1"/>
    </xf>
    <xf numFmtId="0" fontId="2" fillId="3" borderId="15" xfId="0" applyFont="1" applyFill="1" applyBorder="1" applyAlignment="1">
      <alignment horizontal="center"/>
    </xf>
    <xf numFmtId="0" fontId="2" fillId="3" borderId="20" xfId="0" applyFont="1" applyFill="1" applyBorder="1" applyAlignment="1">
      <alignment horizontal="center"/>
    </xf>
    <xf numFmtId="0" fontId="2" fillId="0" borderId="3" xfId="0" applyFont="1" applyBorder="1" applyAlignment="1">
      <alignment horizontal="center" wrapText="1"/>
    </xf>
    <xf numFmtId="0" fontId="2" fillId="0" borderId="3" xfId="0" applyFont="1" applyFill="1" applyBorder="1" applyAlignment="1">
      <alignment horizontal="center"/>
    </xf>
    <xf numFmtId="0" fontId="0" fillId="0" borderId="14" xfId="0" applyFont="1" applyFill="1" applyBorder="1" applyAlignment="1">
      <alignment horizontal="center"/>
    </xf>
    <xf numFmtId="0" fontId="2" fillId="0" borderId="14" xfId="0" applyFont="1" applyBorder="1" applyAlignment="1">
      <alignment horizontal="center" wrapText="1"/>
    </xf>
    <xf numFmtId="0" fontId="0" fillId="0" borderId="3" xfId="0" applyFont="1" applyFill="1" applyBorder="1" applyAlignment="1">
      <alignment horizontal="center"/>
    </xf>
    <xf numFmtId="0" fontId="0" fillId="0" borderId="8" xfId="0" applyFont="1" applyBorder="1" applyAlignment="1">
      <alignment horizontal="left"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4" fillId="4" borderId="7" xfId="4" applyFont="1" applyFill="1" applyBorder="1" applyAlignment="1">
      <alignment horizontal="left" wrapText="1"/>
    </xf>
    <xf numFmtId="0" fontId="14" fillId="4" borderId="8" xfId="4" applyFont="1" applyFill="1" applyBorder="1" applyAlignment="1">
      <alignment horizontal="left" wrapText="1"/>
    </xf>
    <xf numFmtId="0" fontId="14" fillId="4" borderId="9" xfId="4" applyFont="1" applyFill="1" applyBorder="1" applyAlignment="1">
      <alignment horizontal="left" wrapText="1"/>
    </xf>
    <xf numFmtId="0" fontId="15" fillId="4" borderId="10" xfId="4" applyFont="1" applyFill="1" applyBorder="1" applyAlignment="1">
      <alignment horizontal="left" wrapText="1"/>
    </xf>
    <xf numFmtId="0" fontId="15" fillId="4" borderId="0" xfId="4" applyFont="1" applyFill="1" applyBorder="1" applyAlignment="1">
      <alignment horizontal="left" wrapText="1"/>
    </xf>
    <xf numFmtId="0" fontId="15" fillId="4" borderId="1" xfId="4" applyFont="1" applyFill="1" applyBorder="1" applyAlignment="1">
      <alignment horizontal="left" wrapText="1"/>
    </xf>
    <xf numFmtId="0" fontId="15" fillId="4" borderId="11" xfId="4" applyFont="1" applyFill="1" applyBorder="1" applyAlignment="1">
      <alignment horizontal="left" wrapText="1"/>
    </xf>
    <xf numFmtId="0" fontId="15" fillId="4" borderId="12" xfId="4" applyFont="1" applyFill="1" applyBorder="1" applyAlignment="1">
      <alignment horizontal="left" wrapText="1"/>
    </xf>
    <xf numFmtId="0" fontId="15" fillId="4" borderId="13" xfId="4" applyFont="1" applyFill="1" applyBorder="1" applyAlignment="1">
      <alignment horizontal="left" wrapText="1"/>
    </xf>
    <xf numFmtId="2" fontId="2" fillId="0" borderId="3" xfId="0" applyNumberFormat="1"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wrapText="1"/>
    </xf>
  </cellXfs>
  <cellStyles count="7">
    <cellStyle name="Currency" xfId="1" builtinId="4"/>
    <cellStyle name="Currency 2" xfId="5"/>
    <cellStyle name="Hyperlink" xfId="3" builtinId="8"/>
    <cellStyle name="Normal" xfId="0" builtinId="0"/>
    <cellStyle name="Normal 3" xfId="4"/>
    <cellStyle name="Percent" xfId="2" builtinId="5"/>
    <cellStyle name="Percent 2" xfId="6"/>
  </cellStyles>
  <dxfs count="0"/>
  <tableStyles count="0" defaultTableStyle="TableStyleMedium2" defaultPivotStyle="PivotStyleLight16"/>
  <colors>
    <mruColors>
      <color rgb="FF5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hyperlink" Target="http://www.nhtsa.gov/staticfiles/rulemaking/pdf/cafe/FRIA_2017-2025.pdf"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eia.gov/dnav/pet/PET_PRI_GND_DCUS_NUS_W.htm" TargetMode="External"/><Relationship Id="rId2" Type="http://schemas.openxmlformats.org/officeDocument/2006/relationships/hyperlink" Target="https://www.eia.gov/dnav/pet/PET_PRI_GND_DCUS_NUS_W.htm" TargetMode="External"/><Relationship Id="rId1" Type="http://schemas.openxmlformats.org/officeDocument/2006/relationships/hyperlink" Target="https://www.eia.gov/dnav/pet/PET_PRI_GND_DCUS_NUS_W.htm" TargetMode="External"/><Relationship Id="rId4"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B59"/>
  <sheetViews>
    <sheetView workbookViewId="0">
      <selection activeCell="F10" sqref="F10"/>
    </sheetView>
  </sheetViews>
  <sheetFormatPr defaultColWidth="9.109375" defaultRowHeight="13.2" x14ac:dyDescent="0.3"/>
  <cols>
    <col min="1" max="1" width="6.44140625" style="528" customWidth="1"/>
    <col min="2" max="2" width="80.6640625" style="528" customWidth="1"/>
    <col min="3" max="3" width="8.5546875" style="528" customWidth="1"/>
    <col min="4" max="16384" width="9.109375" style="528"/>
  </cols>
  <sheetData>
    <row r="2" spans="2:2" ht="24.6" x14ac:dyDescent="0.3">
      <c r="B2" s="527" t="s">
        <v>464</v>
      </c>
    </row>
    <row r="3" spans="2:2" ht="17.399999999999999" x14ac:dyDescent="0.3">
      <c r="B3" s="529" t="s">
        <v>652</v>
      </c>
    </row>
    <row r="4" spans="2:2" x14ac:dyDescent="0.3">
      <c r="B4" s="530"/>
    </row>
    <row r="5" spans="2:2" ht="13.8" thickBot="1" x14ac:dyDescent="0.35">
      <c r="B5" s="530"/>
    </row>
    <row r="6" spans="2:2" ht="13.8" thickBot="1" x14ac:dyDescent="0.35">
      <c r="B6" s="531" t="s">
        <v>465</v>
      </c>
    </row>
    <row r="7" spans="2:2" s="533" customFormat="1" ht="40.200000000000003" thickBot="1" x14ac:dyDescent="0.35">
      <c r="B7" s="532" t="s">
        <v>466</v>
      </c>
    </row>
    <row r="8" spans="2:2" s="533" customFormat="1" ht="13.8" thickBot="1" x14ac:dyDescent="0.35"/>
    <row r="9" spans="2:2" ht="13.8" thickBot="1" x14ac:dyDescent="0.35">
      <c r="B9" s="534" t="s">
        <v>636</v>
      </c>
    </row>
    <row r="10" spans="2:2" ht="53.4" thickBot="1" x14ac:dyDescent="0.35">
      <c r="B10" s="535" t="s">
        <v>638</v>
      </c>
    </row>
    <row r="11" spans="2:2" ht="13.8" thickBot="1" x14ac:dyDescent="0.35"/>
    <row r="12" spans="2:2" ht="13.8" thickBot="1" x14ac:dyDescent="0.35">
      <c r="B12" s="534" t="s">
        <v>637</v>
      </c>
    </row>
    <row r="13" spans="2:2" ht="53.4" thickBot="1" x14ac:dyDescent="0.35">
      <c r="B13" s="535" t="s">
        <v>639</v>
      </c>
    </row>
    <row r="14" spans="2:2" ht="13.8" thickBot="1" x14ac:dyDescent="0.35"/>
    <row r="15" spans="2:2" ht="13.8" thickBot="1" x14ac:dyDescent="0.35">
      <c r="B15" s="536" t="s">
        <v>640</v>
      </c>
    </row>
    <row r="16" spans="2:2" ht="27" thickBot="1" x14ac:dyDescent="0.35">
      <c r="B16" s="537" t="s">
        <v>641</v>
      </c>
    </row>
    <row r="17" spans="2:2" ht="13.8" thickBot="1" x14ac:dyDescent="0.35"/>
    <row r="18" spans="2:2" ht="13.8" thickBot="1" x14ac:dyDescent="0.35">
      <c r="B18" s="536" t="s">
        <v>224</v>
      </c>
    </row>
    <row r="19" spans="2:2" ht="27" thickBot="1" x14ac:dyDescent="0.35">
      <c r="B19" s="537" t="s">
        <v>674</v>
      </c>
    </row>
    <row r="20" spans="2:2" ht="13.8" thickBot="1" x14ac:dyDescent="0.35"/>
    <row r="21" spans="2:2" ht="13.8" thickBot="1" x14ac:dyDescent="0.35">
      <c r="B21" s="536" t="s">
        <v>675</v>
      </c>
    </row>
    <row r="22" spans="2:2" ht="27" thickBot="1" x14ac:dyDescent="0.35">
      <c r="B22" s="537" t="s">
        <v>676</v>
      </c>
    </row>
    <row r="23" spans="2:2" ht="13.8" thickBot="1" x14ac:dyDescent="0.35"/>
    <row r="24" spans="2:2" ht="13.8" thickBot="1" x14ac:dyDescent="0.35">
      <c r="B24" s="536" t="s">
        <v>642</v>
      </c>
    </row>
    <row r="25" spans="2:2" ht="13.8" thickBot="1" x14ac:dyDescent="0.35">
      <c r="B25" s="537" t="s">
        <v>643</v>
      </c>
    </row>
    <row r="26" spans="2:2" ht="13.8" thickBot="1" x14ac:dyDescent="0.35"/>
    <row r="27" spans="2:2" ht="13.8" thickBot="1" x14ac:dyDescent="0.35">
      <c r="B27" s="536" t="s">
        <v>467</v>
      </c>
    </row>
    <row r="28" spans="2:2" ht="27" thickBot="1" x14ac:dyDescent="0.35">
      <c r="B28" s="537" t="s">
        <v>644</v>
      </c>
    </row>
    <row r="29" spans="2:2" ht="13.8" thickBot="1" x14ac:dyDescent="0.35"/>
    <row r="30" spans="2:2" ht="13.8" thickBot="1" x14ac:dyDescent="0.35">
      <c r="B30" s="732" t="s">
        <v>645</v>
      </c>
    </row>
    <row r="31" spans="2:2" ht="40.200000000000003" thickBot="1" x14ac:dyDescent="0.35">
      <c r="B31" s="731" t="s">
        <v>646</v>
      </c>
    </row>
    <row r="32" spans="2:2" ht="13.8" thickBot="1" x14ac:dyDescent="0.35"/>
    <row r="33" spans="2:2" ht="13.8" thickBot="1" x14ac:dyDescent="0.35">
      <c r="B33" s="732" t="s">
        <v>647</v>
      </c>
    </row>
    <row r="34" spans="2:2" ht="27" thickBot="1" x14ac:dyDescent="0.35">
      <c r="B34" s="731" t="s">
        <v>648</v>
      </c>
    </row>
    <row r="35" spans="2:2" ht="13.8" thickBot="1" x14ac:dyDescent="0.35"/>
    <row r="36" spans="2:2" ht="13.8" thickBot="1" x14ac:dyDescent="0.35">
      <c r="B36" s="732" t="s">
        <v>649</v>
      </c>
    </row>
    <row r="37" spans="2:2" ht="40.200000000000003" thickBot="1" x14ac:dyDescent="0.35">
      <c r="B37" s="731" t="s">
        <v>650</v>
      </c>
    </row>
    <row r="38" spans="2:2" ht="13.8" thickBot="1" x14ac:dyDescent="0.35"/>
    <row r="39" spans="2:2" ht="13.8" thickBot="1" x14ac:dyDescent="0.35">
      <c r="B39" s="539" t="s">
        <v>468</v>
      </c>
    </row>
    <row r="40" spans="2:2" ht="27" thickBot="1" x14ac:dyDescent="0.35">
      <c r="B40" s="538" t="s">
        <v>469</v>
      </c>
    </row>
    <row r="41" spans="2:2" ht="13.8" thickBot="1" x14ac:dyDescent="0.35"/>
    <row r="42" spans="2:2" ht="13.8" thickBot="1" x14ac:dyDescent="0.35">
      <c r="B42" s="539" t="s">
        <v>398</v>
      </c>
    </row>
    <row r="43" spans="2:2" ht="13.8" thickBot="1" x14ac:dyDescent="0.35">
      <c r="B43" s="538" t="s">
        <v>470</v>
      </c>
    </row>
    <row r="44" spans="2:2" ht="13.8" thickBot="1" x14ac:dyDescent="0.35"/>
    <row r="45" spans="2:2" ht="13.8" thickBot="1" x14ac:dyDescent="0.35">
      <c r="B45" s="730" t="s">
        <v>634</v>
      </c>
    </row>
    <row r="46" spans="2:2" ht="40.200000000000003" thickBot="1" x14ac:dyDescent="0.35">
      <c r="B46" s="538" t="s">
        <v>651</v>
      </c>
    </row>
    <row r="47" spans="2:2" ht="13.8" thickBot="1" x14ac:dyDescent="0.35"/>
    <row r="48" spans="2:2" ht="13.8" thickBot="1" x14ac:dyDescent="0.35">
      <c r="B48" s="540" t="s">
        <v>471</v>
      </c>
    </row>
    <row r="49" spans="2:2" ht="53.4" thickBot="1" x14ac:dyDescent="0.35">
      <c r="B49" s="541" t="s">
        <v>472</v>
      </c>
    </row>
    <row r="50" spans="2:2" ht="13.8" thickBot="1" x14ac:dyDescent="0.35"/>
    <row r="51" spans="2:2" ht="13.8" thickBot="1" x14ac:dyDescent="0.35">
      <c r="B51" s="540" t="s">
        <v>473</v>
      </c>
    </row>
    <row r="52" spans="2:2" ht="93" thickBot="1" x14ac:dyDescent="0.35">
      <c r="B52" s="541" t="s">
        <v>633</v>
      </c>
    </row>
    <row r="53" spans="2:2" ht="13.8" thickBot="1" x14ac:dyDescent="0.35"/>
    <row r="54" spans="2:2" ht="13.8" thickBot="1" x14ac:dyDescent="0.35">
      <c r="B54" s="540" t="s">
        <v>474</v>
      </c>
    </row>
    <row r="55" spans="2:2" ht="53.4" thickBot="1" x14ac:dyDescent="0.35">
      <c r="B55" s="541" t="s">
        <v>475</v>
      </c>
    </row>
    <row r="57" spans="2:2" ht="13.8" thickBot="1" x14ac:dyDescent="0.35"/>
    <row r="58" spans="2:2" ht="13.8" thickBot="1" x14ac:dyDescent="0.35">
      <c r="B58" s="542" t="s">
        <v>476</v>
      </c>
    </row>
    <row r="59" spans="2:2" ht="40.200000000000003" thickBot="1" x14ac:dyDescent="0.35">
      <c r="B59" s="543" t="s">
        <v>477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D45"/>
  <sheetViews>
    <sheetView workbookViewId="0">
      <pane xSplit="4" ySplit="7" topLeftCell="E8" activePane="bottomRight" state="frozen"/>
      <selection pane="topRight" activeCell="E1" sqref="E1"/>
      <selection pane="bottomLeft" activeCell="A8" sqref="A8"/>
      <selection pane="bottomRight" activeCell="H11" sqref="H11"/>
    </sheetView>
  </sheetViews>
  <sheetFormatPr defaultRowHeight="14.4" x14ac:dyDescent="0.3"/>
  <cols>
    <col min="1" max="1" width="3.33203125" customWidth="1"/>
    <col min="2" max="2" width="19.33203125" bestFit="1" customWidth="1"/>
    <col min="5" max="5" width="12.88671875" customWidth="1"/>
    <col min="6" max="6" width="17.88671875" customWidth="1"/>
    <col min="7" max="7" width="12.88671875" customWidth="1"/>
    <col min="8" max="8" width="17.77734375" customWidth="1"/>
    <col min="9" max="9" width="14.21875" bestFit="1" customWidth="1"/>
    <col min="10" max="29" width="12" style="1" customWidth="1"/>
    <col min="30" max="30" width="12.21875" style="1" customWidth="1"/>
  </cols>
  <sheetData>
    <row r="1" spans="2:30" ht="9" customHeight="1" thickBot="1" x14ac:dyDescent="0.35"/>
    <row r="2" spans="2:30" ht="18.600000000000001" thickBot="1" x14ac:dyDescent="0.4">
      <c r="B2" s="186" t="s">
        <v>459</v>
      </c>
      <c r="C2" s="184"/>
      <c r="D2" s="184"/>
      <c r="E2" s="184"/>
      <c r="F2" s="184"/>
      <c r="G2" s="184" t="s">
        <v>673</v>
      </c>
      <c r="H2" s="184"/>
      <c r="I2" s="205">
        <v>0.15</v>
      </c>
      <c r="J2" s="185"/>
      <c r="K2" s="185"/>
      <c r="L2" s="185"/>
      <c r="M2" s="185"/>
      <c r="N2" s="185"/>
      <c r="O2" s="185"/>
      <c r="P2" s="185"/>
      <c r="Q2" s="185"/>
      <c r="R2" s="185"/>
      <c r="S2" s="185"/>
      <c r="T2" s="185"/>
      <c r="U2" s="185"/>
      <c r="V2" s="185"/>
      <c r="W2" s="185"/>
      <c r="X2" s="185"/>
      <c r="Y2" s="185"/>
      <c r="Z2" s="185"/>
      <c r="AA2" s="185"/>
      <c r="AB2" s="185"/>
      <c r="AC2" s="185"/>
      <c r="AD2" s="185"/>
    </row>
    <row r="3" spans="2:30" x14ac:dyDescent="0.3">
      <c r="B3" s="184"/>
      <c r="C3" s="184"/>
      <c r="D3" s="184"/>
      <c r="E3" s="184"/>
      <c r="F3" s="184"/>
      <c r="G3" s="184"/>
      <c r="H3" s="184"/>
      <c r="I3" s="184"/>
      <c r="J3" s="185"/>
      <c r="K3" s="185"/>
      <c r="L3" s="185"/>
      <c r="M3" s="185"/>
      <c r="N3" s="185"/>
      <c r="O3" s="185"/>
      <c r="P3" s="185"/>
      <c r="Q3" s="185"/>
      <c r="R3" s="185"/>
      <c r="S3" s="185"/>
      <c r="T3" s="185"/>
      <c r="U3" s="185"/>
      <c r="V3" s="185"/>
      <c r="W3" s="185"/>
      <c r="X3" s="185"/>
      <c r="Y3" s="185"/>
      <c r="Z3" s="185"/>
      <c r="AA3" s="185"/>
      <c r="AB3" s="185"/>
      <c r="AC3" s="185"/>
      <c r="AD3" s="185"/>
    </row>
    <row r="4" spans="2:30" x14ac:dyDescent="0.3">
      <c r="B4" s="184"/>
      <c r="C4" s="184"/>
      <c r="D4" s="184"/>
      <c r="E4" s="184"/>
      <c r="F4" s="184"/>
      <c r="G4" s="184"/>
      <c r="H4" s="184"/>
      <c r="I4" s="184"/>
      <c r="J4" s="185"/>
      <c r="K4" s="185"/>
      <c r="L4" s="185"/>
      <c r="M4" s="185"/>
      <c r="N4" s="185"/>
      <c r="O4" s="185"/>
      <c r="P4" s="185"/>
      <c r="Q4" s="185"/>
      <c r="R4" s="185"/>
      <c r="S4" s="185"/>
      <c r="T4" s="185"/>
      <c r="U4" s="185"/>
      <c r="V4" s="185"/>
      <c r="W4" s="185"/>
      <c r="X4" s="185"/>
      <c r="Y4" s="185"/>
      <c r="Z4" s="185"/>
      <c r="AA4" s="185"/>
      <c r="AB4" s="185"/>
      <c r="AC4" s="185"/>
      <c r="AD4" s="185"/>
    </row>
    <row r="5" spans="2:30" x14ac:dyDescent="0.3">
      <c r="B5" s="184"/>
      <c r="C5" s="184"/>
      <c r="D5" s="184"/>
      <c r="E5" s="190"/>
      <c r="F5" s="185"/>
      <c r="G5" s="185"/>
      <c r="H5" s="185"/>
      <c r="I5" s="185" t="s">
        <v>229</v>
      </c>
      <c r="J5" s="185">
        <v>0</v>
      </c>
      <c r="K5" s="185">
        <v>1</v>
      </c>
      <c r="L5" s="185">
        <v>2</v>
      </c>
      <c r="M5" s="185">
        <v>3</v>
      </c>
      <c r="N5" s="185">
        <v>4</v>
      </c>
      <c r="O5" s="185">
        <v>5</v>
      </c>
      <c r="P5" s="185">
        <v>6</v>
      </c>
      <c r="Q5" s="185">
        <v>7</v>
      </c>
      <c r="R5" s="185">
        <v>8</v>
      </c>
      <c r="S5" s="185">
        <v>9</v>
      </c>
      <c r="T5" s="185">
        <v>10</v>
      </c>
      <c r="U5" s="185">
        <v>11</v>
      </c>
      <c r="V5" s="185">
        <v>12</v>
      </c>
      <c r="W5" s="185">
        <v>13</v>
      </c>
      <c r="X5" s="185">
        <v>14</v>
      </c>
      <c r="Y5" s="185">
        <v>15</v>
      </c>
      <c r="Z5" s="185">
        <v>16</v>
      </c>
      <c r="AA5" s="185">
        <v>17</v>
      </c>
      <c r="AB5" s="185">
        <v>18</v>
      </c>
      <c r="AC5" s="185">
        <v>19</v>
      </c>
      <c r="AD5" s="185">
        <v>20</v>
      </c>
    </row>
    <row r="6" spans="2:30" x14ac:dyDescent="0.3">
      <c r="B6" s="184"/>
      <c r="C6" s="184"/>
      <c r="D6" s="184"/>
      <c r="E6" s="614"/>
      <c r="F6" s="614"/>
      <c r="G6" s="614"/>
      <c r="H6" s="614"/>
      <c r="I6" s="614" t="s">
        <v>32</v>
      </c>
      <c r="J6" s="622">
        <v>2020</v>
      </c>
      <c r="K6" s="622">
        <v>2021</v>
      </c>
      <c r="L6" s="622">
        <v>2022</v>
      </c>
      <c r="M6" s="622">
        <v>2023</v>
      </c>
      <c r="N6" s="622">
        <v>2024</v>
      </c>
      <c r="O6" s="622">
        <v>2025</v>
      </c>
      <c r="P6" s="622">
        <v>2026</v>
      </c>
      <c r="Q6" s="622">
        <v>2027</v>
      </c>
      <c r="R6" s="622">
        <v>2028</v>
      </c>
      <c r="S6" s="622">
        <v>2029</v>
      </c>
      <c r="T6" s="622">
        <v>2030</v>
      </c>
      <c r="U6" s="622">
        <v>2031</v>
      </c>
      <c r="V6" s="622">
        <v>2032</v>
      </c>
      <c r="W6" s="622">
        <v>2033</v>
      </c>
      <c r="X6" s="622">
        <v>2034</v>
      </c>
      <c r="Y6" s="622">
        <v>2035</v>
      </c>
      <c r="Z6" s="622">
        <v>2036</v>
      </c>
      <c r="AA6" s="622">
        <v>2037</v>
      </c>
      <c r="AB6" s="622">
        <v>2038</v>
      </c>
      <c r="AC6" s="622">
        <v>2039</v>
      </c>
      <c r="AD6" s="622">
        <v>2040</v>
      </c>
    </row>
    <row r="7" spans="2:30" x14ac:dyDescent="0.3">
      <c r="B7" s="199" t="s">
        <v>553</v>
      </c>
      <c r="C7" s="199"/>
      <c r="D7" s="199"/>
      <c r="E7" s="199"/>
      <c r="F7" s="199"/>
      <c r="G7" s="199"/>
      <c r="H7" s="199"/>
      <c r="I7" s="199"/>
      <c r="J7" s="323"/>
      <c r="K7" s="323"/>
      <c r="L7" s="323"/>
      <c r="M7" s="323"/>
      <c r="N7" s="323"/>
      <c r="O7" s="323"/>
      <c r="P7" s="323"/>
      <c r="Q7" s="323"/>
      <c r="R7" s="323"/>
      <c r="S7" s="323"/>
      <c r="T7" s="323"/>
      <c r="U7" s="323"/>
      <c r="V7" s="323"/>
      <c r="W7" s="323"/>
      <c r="X7" s="323"/>
      <c r="Y7" s="323"/>
      <c r="Z7" s="323"/>
      <c r="AA7" s="323"/>
      <c r="AB7" s="323"/>
      <c r="AC7" s="323"/>
      <c r="AD7" s="323"/>
    </row>
    <row r="8" spans="2:30" x14ac:dyDescent="0.3">
      <c r="B8" s="611" t="s">
        <v>237</v>
      </c>
      <c r="C8" s="611" t="s">
        <v>95</v>
      </c>
      <c r="D8" s="611"/>
      <c r="E8" s="617"/>
      <c r="F8" s="617"/>
      <c r="G8" s="617"/>
      <c r="H8" s="617"/>
      <c r="I8" s="617"/>
      <c r="J8" s="182">
        <f>'Straight-Line Change'!H8</f>
        <v>80552160</v>
      </c>
      <c r="K8" s="182">
        <f>'Straight-Line Change'!I8</f>
        <v>83998096</v>
      </c>
      <c r="L8" s="182">
        <f>'Straight-Line Change'!J8</f>
        <v>87444032</v>
      </c>
      <c r="M8" s="182">
        <f>'Straight-Line Change'!K8</f>
        <v>90889968</v>
      </c>
      <c r="N8" s="182">
        <f>'Straight-Line Change'!L8</f>
        <v>94335904</v>
      </c>
      <c r="O8" s="182">
        <f>'Straight-Line Change'!M8</f>
        <v>97781840</v>
      </c>
      <c r="P8" s="182">
        <f>'Straight-Line Change'!N8</f>
        <v>101227776</v>
      </c>
      <c r="Q8" s="182">
        <f>'Straight-Line Change'!O8</f>
        <v>104673712</v>
      </c>
      <c r="R8" s="182">
        <f>'Straight-Line Change'!P8</f>
        <v>108119648</v>
      </c>
      <c r="S8" s="182">
        <f>'Straight-Line Change'!Q8</f>
        <v>111565584</v>
      </c>
      <c r="T8" s="182">
        <f>'Straight-Line Change'!R8</f>
        <v>115011520</v>
      </c>
      <c r="U8" s="182">
        <f>'Straight-Line Change'!S8</f>
        <v>118457456</v>
      </c>
      <c r="V8" s="182">
        <f>'Straight-Line Change'!T8</f>
        <v>121903392</v>
      </c>
      <c r="W8" s="182">
        <f>'Straight-Line Change'!U8</f>
        <v>125349328</v>
      </c>
      <c r="X8" s="182">
        <f>'Straight-Line Change'!V8</f>
        <v>128795264</v>
      </c>
      <c r="Y8" s="182">
        <f>'Straight-Line Change'!W8</f>
        <v>132241200</v>
      </c>
      <c r="Z8" s="182">
        <f>'Straight-Line Change'!X8</f>
        <v>135687136</v>
      </c>
      <c r="AA8" s="182">
        <f>'Straight-Line Change'!Y8</f>
        <v>139133072</v>
      </c>
      <c r="AB8" s="182">
        <f>'Straight-Line Change'!Z8</f>
        <v>142579008</v>
      </c>
      <c r="AC8" s="182">
        <f>'Straight-Line Change'!AA8</f>
        <v>146024944</v>
      </c>
      <c r="AD8" s="182">
        <f>'Straight-Line Change'!AB8</f>
        <v>149470880</v>
      </c>
    </row>
    <row r="9" spans="2:30" x14ac:dyDescent="0.3">
      <c r="B9" s="611" t="s">
        <v>237</v>
      </c>
      <c r="C9" s="611" t="s">
        <v>4</v>
      </c>
      <c r="D9" s="611"/>
      <c r="E9" s="617"/>
      <c r="F9" s="617"/>
      <c r="G9" s="617"/>
      <c r="H9" s="617"/>
      <c r="I9" s="617"/>
      <c r="J9" s="182">
        <f>'Straight-Line Change'!H9</f>
        <v>23161440</v>
      </c>
      <c r="K9" s="182">
        <f>'Straight-Line Change'!I9</f>
        <v>24152269</v>
      </c>
      <c r="L9" s="182">
        <f>'Straight-Line Change'!J9</f>
        <v>25143098</v>
      </c>
      <c r="M9" s="182">
        <f>'Straight-Line Change'!K9</f>
        <v>26133927</v>
      </c>
      <c r="N9" s="182">
        <f>'Straight-Line Change'!L9</f>
        <v>27124756</v>
      </c>
      <c r="O9" s="182">
        <f>'Straight-Line Change'!M9</f>
        <v>28115585</v>
      </c>
      <c r="P9" s="182">
        <f>'Straight-Line Change'!N9</f>
        <v>29106414</v>
      </c>
      <c r="Q9" s="182">
        <f>'Straight-Line Change'!O9</f>
        <v>30097243</v>
      </c>
      <c r="R9" s="182">
        <f>'Straight-Line Change'!P9</f>
        <v>31088072</v>
      </c>
      <c r="S9" s="182">
        <f>'Straight-Line Change'!Q9</f>
        <v>32078901</v>
      </c>
      <c r="T9" s="182">
        <f>'Straight-Line Change'!R9</f>
        <v>33069730</v>
      </c>
      <c r="U9" s="182">
        <f>'Straight-Line Change'!S9</f>
        <v>34060559</v>
      </c>
      <c r="V9" s="182">
        <f>'Straight-Line Change'!T9</f>
        <v>35051388</v>
      </c>
      <c r="W9" s="182">
        <f>'Straight-Line Change'!U9</f>
        <v>36042217</v>
      </c>
      <c r="X9" s="182">
        <f>'Straight-Line Change'!V9</f>
        <v>37033046</v>
      </c>
      <c r="Y9" s="182">
        <f>'Straight-Line Change'!W9</f>
        <v>38023875</v>
      </c>
      <c r="Z9" s="182">
        <f>'Straight-Line Change'!X9</f>
        <v>39014704</v>
      </c>
      <c r="AA9" s="182">
        <f>'Straight-Line Change'!Y9</f>
        <v>40005533</v>
      </c>
      <c r="AB9" s="182">
        <f>'Straight-Line Change'!Z9</f>
        <v>40996362</v>
      </c>
      <c r="AC9" s="182">
        <f>'Straight-Line Change'!AA9</f>
        <v>41987191</v>
      </c>
      <c r="AD9" s="182">
        <f>'Straight-Line Change'!AB9</f>
        <v>42978020</v>
      </c>
    </row>
    <row r="10" spans="2:30" x14ac:dyDescent="0.3">
      <c r="B10" s="611" t="s">
        <v>237</v>
      </c>
      <c r="C10" s="611" t="s">
        <v>93</v>
      </c>
      <c r="D10" s="611"/>
      <c r="E10" s="617"/>
      <c r="F10" s="617"/>
      <c r="G10" s="617"/>
      <c r="H10" s="617"/>
      <c r="I10" s="617"/>
      <c r="J10" s="182">
        <f>'Straight-Line Change'!H10</f>
        <v>103713600</v>
      </c>
      <c r="K10" s="182">
        <f>'Straight-Line Change'!I10</f>
        <v>108150365</v>
      </c>
      <c r="L10" s="182">
        <f>'Straight-Line Change'!J10</f>
        <v>112587130</v>
      </c>
      <c r="M10" s="182">
        <f>'Straight-Line Change'!K10</f>
        <v>117023895</v>
      </c>
      <c r="N10" s="182">
        <f>'Straight-Line Change'!L10</f>
        <v>121460660</v>
      </c>
      <c r="O10" s="182">
        <f>'Straight-Line Change'!M10</f>
        <v>125897425</v>
      </c>
      <c r="P10" s="182">
        <f>'Straight-Line Change'!N10</f>
        <v>130334190</v>
      </c>
      <c r="Q10" s="182">
        <f>'Straight-Line Change'!O10</f>
        <v>134770955</v>
      </c>
      <c r="R10" s="182">
        <f>'Straight-Line Change'!P10</f>
        <v>139207720</v>
      </c>
      <c r="S10" s="182">
        <f>'Straight-Line Change'!Q10</f>
        <v>143644485</v>
      </c>
      <c r="T10" s="182">
        <f>'Straight-Line Change'!R10</f>
        <v>148081250</v>
      </c>
      <c r="U10" s="182">
        <f>'Straight-Line Change'!S10</f>
        <v>152518015</v>
      </c>
      <c r="V10" s="182">
        <f>'Straight-Line Change'!T10</f>
        <v>156954780</v>
      </c>
      <c r="W10" s="182">
        <f>'Straight-Line Change'!U10</f>
        <v>161391545</v>
      </c>
      <c r="X10" s="182">
        <f>'Straight-Line Change'!V10</f>
        <v>165828310</v>
      </c>
      <c r="Y10" s="182">
        <f>'Straight-Line Change'!W10</f>
        <v>170265075</v>
      </c>
      <c r="Z10" s="182">
        <f>'Straight-Line Change'!X10</f>
        <v>174701840</v>
      </c>
      <c r="AA10" s="182">
        <f>'Straight-Line Change'!Y10</f>
        <v>179138605</v>
      </c>
      <c r="AB10" s="182">
        <f>'Straight-Line Change'!Z10</f>
        <v>183575370</v>
      </c>
      <c r="AC10" s="182">
        <f>'Straight-Line Change'!AA10</f>
        <v>188012135</v>
      </c>
      <c r="AD10" s="182">
        <f>'Straight-Line Change'!AB10</f>
        <v>192448900</v>
      </c>
    </row>
    <row r="11" spans="2:30" x14ac:dyDescent="0.3">
      <c r="B11" s="178" t="s">
        <v>618</v>
      </c>
      <c r="C11" s="178"/>
      <c r="D11" s="178"/>
      <c r="E11" s="636">
        <f>'Unit Costs'!C39</f>
        <v>54.75</v>
      </c>
      <c r="F11" s="635" t="s">
        <v>572</v>
      </c>
      <c r="G11" s="637">
        <f>'Unit Costs'!C42</f>
        <v>4198</v>
      </c>
      <c r="H11" s="635" t="s">
        <v>573</v>
      </c>
      <c r="I11" s="616"/>
      <c r="J11" s="191">
        <f>(J$8/100000000)*$E11*$G11</f>
        <v>185141.48730479999</v>
      </c>
      <c r="K11" s="191">
        <f t="shared" ref="K11:AD13" si="0">(K$8/100000000)*$E11*$G11</f>
        <v>193061.64383688002</v>
      </c>
      <c r="L11" s="191">
        <f t="shared" si="0"/>
        <v>200981.80036896002</v>
      </c>
      <c r="M11" s="191">
        <f t="shared" si="0"/>
        <v>208901.95690104002</v>
      </c>
      <c r="N11" s="191">
        <f t="shared" si="0"/>
        <v>216822.11343312002</v>
      </c>
      <c r="O11" s="191">
        <f t="shared" si="0"/>
        <v>224742.26996520002</v>
      </c>
      <c r="P11" s="191">
        <f t="shared" si="0"/>
        <v>232662.42649727999</v>
      </c>
      <c r="Q11" s="191">
        <f t="shared" si="0"/>
        <v>240582.58302936002</v>
      </c>
      <c r="R11" s="191">
        <f t="shared" si="0"/>
        <v>248502.73956144002</v>
      </c>
      <c r="S11" s="191">
        <f t="shared" si="0"/>
        <v>256422.89609352002</v>
      </c>
      <c r="T11" s="191">
        <f t="shared" si="0"/>
        <v>264343.05262559996</v>
      </c>
      <c r="U11" s="191">
        <f t="shared" si="0"/>
        <v>272263.20915767999</v>
      </c>
      <c r="V11" s="191">
        <f t="shared" si="0"/>
        <v>280183.36568976002</v>
      </c>
      <c r="W11" s="191">
        <f t="shared" si="0"/>
        <v>288103.52222183999</v>
      </c>
      <c r="X11" s="191">
        <f t="shared" si="0"/>
        <v>296023.67875392002</v>
      </c>
      <c r="Y11" s="191">
        <f t="shared" si="0"/>
        <v>303943.83528599999</v>
      </c>
      <c r="Z11" s="191">
        <f t="shared" si="0"/>
        <v>311863.99181808002</v>
      </c>
      <c r="AA11" s="191">
        <f t="shared" si="0"/>
        <v>319784.14835015999</v>
      </c>
      <c r="AB11" s="191">
        <f t="shared" si="0"/>
        <v>327704.30488224002</v>
      </c>
      <c r="AC11" s="191">
        <f t="shared" si="0"/>
        <v>335624.46141431999</v>
      </c>
      <c r="AD11" s="191">
        <f t="shared" si="0"/>
        <v>343544.61794640002</v>
      </c>
    </row>
    <row r="12" spans="2:30" x14ac:dyDescent="0.3">
      <c r="B12" s="178" t="s">
        <v>619</v>
      </c>
      <c r="C12" s="178"/>
      <c r="D12" s="178"/>
      <c r="E12" s="636">
        <f>'Unit Costs'!C40</f>
        <v>22.75</v>
      </c>
      <c r="F12" s="635" t="s">
        <v>572</v>
      </c>
      <c r="G12" s="637">
        <f>'Unit Costs'!C43</f>
        <v>135098</v>
      </c>
      <c r="H12" s="635" t="s">
        <v>573</v>
      </c>
      <c r="I12" s="616"/>
      <c r="J12" s="191">
        <f t="shared" ref="J12:Y13" si="1">(J$8/100000000)*$E12*$G12</f>
        <v>2475754.1244071997</v>
      </c>
      <c r="K12" s="191">
        <f t="shared" si="1"/>
        <v>2581664.2609503199</v>
      </c>
      <c r="L12" s="191">
        <f t="shared" si="1"/>
        <v>2687574.3974934402</v>
      </c>
      <c r="M12" s="191">
        <f t="shared" si="1"/>
        <v>2793484.53403656</v>
      </c>
      <c r="N12" s="191">
        <f t="shared" si="1"/>
        <v>2899394.6705796802</v>
      </c>
      <c r="O12" s="191">
        <f t="shared" si="1"/>
        <v>3005304.8071228</v>
      </c>
      <c r="P12" s="191">
        <f t="shared" si="1"/>
        <v>3111214.9436659198</v>
      </c>
      <c r="Q12" s="191">
        <f t="shared" si="1"/>
        <v>3217125.0802090396</v>
      </c>
      <c r="R12" s="191">
        <f t="shared" si="1"/>
        <v>3323035.2167521599</v>
      </c>
      <c r="S12" s="191">
        <f t="shared" si="1"/>
        <v>3428945.3532952801</v>
      </c>
      <c r="T12" s="191">
        <f t="shared" si="1"/>
        <v>3534855.4898383995</v>
      </c>
      <c r="U12" s="191">
        <f t="shared" si="1"/>
        <v>3640765.6263815197</v>
      </c>
      <c r="V12" s="191">
        <f t="shared" si="1"/>
        <v>3746675.76292464</v>
      </c>
      <c r="W12" s="191">
        <f t="shared" si="1"/>
        <v>3852585.8994677602</v>
      </c>
      <c r="X12" s="191">
        <f t="shared" si="1"/>
        <v>3958496.0360108805</v>
      </c>
      <c r="Y12" s="191">
        <f t="shared" si="1"/>
        <v>4064406.1725539998</v>
      </c>
      <c r="Z12" s="191">
        <f t="shared" si="0"/>
        <v>4170316.3090971201</v>
      </c>
      <c r="AA12" s="191">
        <f t="shared" si="0"/>
        <v>4276226.4456402399</v>
      </c>
      <c r="AB12" s="191">
        <f t="shared" si="0"/>
        <v>4382136.5821833601</v>
      </c>
      <c r="AC12" s="191">
        <f t="shared" si="0"/>
        <v>4488046.7187264794</v>
      </c>
      <c r="AD12" s="191">
        <f t="shared" si="0"/>
        <v>4593956.8552695997</v>
      </c>
    </row>
    <row r="13" spans="2:30" x14ac:dyDescent="0.3">
      <c r="B13" s="178" t="s">
        <v>620</v>
      </c>
      <c r="C13" s="178"/>
      <c r="D13" s="178"/>
      <c r="E13" s="636">
        <f>'Unit Costs'!C41</f>
        <v>1.66</v>
      </c>
      <c r="F13" s="635" t="s">
        <v>572</v>
      </c>
      <c r="G13" s="637">
        <f>'Unit Costs'!C44</f>
        <v>9600000</v>
      </c>
      <c r="H13" s="635" t="s">
        <v>573</v>
      </c>
      <c r="I13" s="616"/>
      <c r="J13" s="191">
        <f t="shared" si="1"/>
        <v>12836792.217599999</v>
      </c>
      <c r="K13" s="191">
        <f t="shared" si="0"/>
        <v>13385936.57856</v>
      </c>
      <c r="L13" s="191">
        <f t="shared" si="0"/>
        <v>13935080.93952</v>
      </c>
      <c r="M13" s="191">
        <f t="shared" si="0"/>
        <v>14484225.300479999</v>
      </c>
      <c r="N13" s="191">
        <f t="shared" si="0"/>
        <v>15033369.66144</v>
      </c>
      <c r="O13" s="191">
        <f t="shared" si="0"/>
        <v>15582514.022399999</v>
      </c>
      <c r="P13" s="191">
        <f t="shared" si="0"/>
        <v>16131658.383359998</v>
      </c>
      <c r="Q13" s="191">
        <f t="shared" si="0"/>
        <v>16680802.744319998</v>
      </c>
      <c r="R13" s="191">
        <f t="shared" si="0"/>
        <v>17229947.105279997</v>
      </c>
      <c r="S13" s="191">
        <f t="shared" si="0"/>
        <v>17779091.46624</v>
      </c>
      <c r="T13" s="191">
        <f t="shared" si="0"/>
        <v>18328235.827199999</v>
      </c>
      <c r="U13" s="191">
        <f t="shared" si="0"/>
        <v>18877380.188159999</v>
      </c>
      <c r="V13" s="191">
        <f t="shared" si="0"/>
        <v>19426524.549120001</v>
      </c>
      <c r="W13" s="191">
        <f t="shared" si="0"/>
        <v>19975668.910079997</v>
      </c>
      <c r="X13" s="191">
        <f t="shared" si="0"/>
        <v>20524813.27104</v>
      </c>
      <c r="Y13" s="191">
        <f t="shared" si="0"/>
        <v>21073957.631999999</v>
      </c>
      <c r="Z13" s="191">
        <f t="shared" si="0"/>
        <v>21623101.992959999</v>
      </c>
      <c r="AA13" s="191">
        <f t="shared" si="0"/>
        <v>22172246.353920002</v>
      </c>
      <c r="AB13" s="191">
        <f t="shared" si="0"/>
        <v>22721390.714880001</v>
      </c>
      <c r="AC13" s="191">
        <f t="shared" si="0"/>
        <v>23270535.075839996</v>
      </c>
      <c r="AD13" s="191">
        <f t="shared" si="0"/>
        <v>23819679.436799999</v>
      </c>
    </row>
    <row r="14" spans="2:30" x14ac:dyDescent="0.3">
      <c r="B14" s="178" t="s">
        <v>624</v>
      </c>
      <c r="C14" s="178"/>
      <c r="D14" s="178"/>
      <c r="E14" s="636"/>
      <c r="F14" s="635"/>
      <c r="G14" s="637"/>
      <c r="H14" s="635"/>
      <c r="I14" s="616"/>
      <c r="J14" s="638">
        <f>SUM(J11:J13)</f>
        <v>15497687.829311999</v>
      </c>
      <c r="K14" s="638">
        <f t="shared" ref="K14:AD14" si="2">SUM(K11:K13)</f>
        <v>16160662.4833472</v>
      </c>
      <c r="L14" s="638">
        <f t="shared" si="2"/>
        <v>16823637.137382399</v>
      </c>
      <c r="M14" s="638">
        <f t="shared" si="2"/>
        <v>17486611.791417599</v>
      </c>
      <c r="N14" s="638">
        <f t="shared" si="2"/>
        <v>18149586.445452802</v>
      </c>
      <c r="O14" s="638">
        <f t="shared" si="2"/>
        <v>18812561.099487998</v>
      </c>
      <c r="P14" s="638">
        <f t="shared" si="2"/>
        <v>19475535.753523197</v>
      </c>
      <c r="Q14" s="638">
        <f t="shared" si="2"/>
        <v>20138510.407558396</v>
      </c>
      <c r="R14" s="638">
        <f t="shared" si="2"/>
        <v>20801485.061593596</v>
      </c>
      <c r="S14" s="638">
        <f t="shared" si="2"/>
        <v>21464459.715628799</v>
      </c>
      <c r="T14" s="638">
        <f t="shared" si="2"/>
        <v>22127434.369663998</v>
      </c>
      <c r="U14" s="638">
        <f t="shared" si="2"/>
        <v>22790409.023699198</v>
      </c>
      <c r="V14" s="638">
        <f t="shared" si="2"/>
        <v>23453383.677734401</v>
      </c>
      <c r="W14" s="638">
        <f t="shared" si="2"/>
        <v>24116358.331769597</v>
      </c>
      <c r="X14" s="638">
        <f t="shared" si="2"/>
        <v>24779332.9858048</v>
      </c>
      <c r="Y14" s="638">
        <f t="shared" si="2"/>
        <v>25442307.639839999</v>
      </c>
      <c r="Z14" s="638">
        <f t="shared" si="2"/>
        <v>26105282.293875199</v>
      </c>
      <c r="AA14" s="638">
        <f t="shared" si="2"/>
        <v>26768256.947910402</v>
      </c>
      <c r="AB14" s="638">
        <f t="shared" si="2"/>
        <v>27431231.601945601</v>
      </c>
      <c r="AC14" s="638">
        <f t="shared" si="2"/>
        <v>28094206.255980797</v>
      </c>
      <c r="AD14" s="638">
        <f t="shared" si="2"/>
        <v>28757180.910016</v>
      </c>
    </row>
    <row r="15" spans="2:30" x14ac:dyDescent="0.3">
      <c r="B15" s="178" t="s">
        <v>621</v>
      </c>
      <c r="C15" s="178"/>
      <c r="D15" s="178"/>
      <c r="E15" s="636">
        <f>'Unit Costs'!C39</f>
        <v>54.75</v>
      </c>
      <c r="F15" s="635" t="s">
        <v>572</v>
      </c>
      <c r="G15" s="637">
        <f>'Unit Costs'!C42</f>
        <v>4198</v>
      </c>
      <c r="H15" s="635" t="s">
        <v>573</v>
      </c>
      <c r="I15" s="616"/>
      <c r="J15" s="721">
        <f>(J$9/100000000)*$E15*$G15</f>
        <v>53234.369503200003</v>
      </c>
      <c r="K15" s="721">
        <f t="shared" ref="K15:AD17" si="3">(K$9/100000000)*$E15*$G15</f>
        <v>55511.695830945006</v>
      </c>
      <c r="L15" s="721">
        <f t="shared" si="3"/>
        <v>57789.022158690008</v>
      </c>
      <c r="M15" s="721">
        <f t="shared" si="3"/>
        <v>60066.348486435003</v>
      </c>
      <c r="N15" s="721">
        <f t="shared" si="3"/>
        <v>62343.674814179998</v>
      </c>
      <c r="O15" s="721">
        <f t="shared" si="3"/>
        <v>64621.001141924993</v>
      </c>
      <c r="P15" s="721">
        <f t="shared" si="3"/>
        <v>66898.32746967001</v>
      </c>
      <c r="Q15" s="721">
        <f t="shared" si="3"/>
        <v>69175.653797414998</v>
      </c>
      <c r="R15" s="721">
        <f t="shared" si="3"/>
        <v>71452.98012516</v>
      </c>
      <c r="S15" s="721">
        <f t="shared" si="3"/>
        <v>73730.306452904988</v>
      </c>
      <c r="T15" s="721">
        <f t="shared" si="3"/>
        <v>76007.632780650005</v>
      </c>
      <c r="U15" s="721">
        <f t="shared" si="3"/>
        <v>78284.959108394993</v>
      </c>
      <c r="V15" s="721">
        <f t="shared" si="3"/>
        <v>80562.28543614001</v>
      </c>
      <c r="W15" s="721">
        <f t="shared" si="3"/>
        <v>82839.611763884997</v>
      </c>
      <c r="X15" s="721">
        <f t="shared" si="3"/>
        <v>85116.93809163</v>
      </c>
      <c r="Y15" s="721">
        <f t="shared" si="3"/>
        <v>87394.264419375002</v>
      </c>
      <c r="Z15" s="721">
        <f t="shared" si="3"/>
        <v>89671.590747120004</v>
      </c>
      <c r="AA15" s="721">
        <f t="shared" si="3"/>
        <v>91948.917074864992</v>
      </c>
      <c r="AB15" s="721">
        <f t="shared" si="3"/>
        <v>94226.243402609995</v>
      </c>
      <c r="AC15" s="721">
        <f t="shared" si="3"/>
        <v>96503.569730355011</v>
      </c>
      <c r="AD15" s="721">
        <f t="shared" si="3"/>
        <v>98780.896058099999</v>
      </c>
    </row>
    <row r="16" spans="2:30" x14ac:dyDescent="0.3">
      <c r="B16" s="178" t="s">
        <v>622</v>
      </c>
      <c r="C16" s="178"/>
      <c r="D16" s="178"/>
      <c r="E16" s="636">
        <f>'Unit Costs'!C40</f>
        <v>22.75</v>
      </c>
      <c r="F16" s="635" t="s">
        <v>572</v>
      </c>
      <c r="G16" s="637">
        <f>'Unit Costs'!C43</f>
        <v>135098</v>
      </c>
      <c r="H16" s="635" t="s">
        <v>573</v>
      </c>
      <c r="I16" s="616"/>
      <c r="J16" s="721">
        <f t="shared" ref="J16:Y17" si="4">(J$9/100000000)*$E16*$G16</f>
        <v>711862.11030479998</v>
      </c>
      <c r="K16" s="721">
        <f t="shared" si="4"/>
        <v>742315.03649985499</v>
      </c>
      <c r="L16" s="721">
        <f t="shared" si="4"/>
        <v>772767.96269491001</v>
      </c>
      <c r="M16" s="721">
        <f t="shared" si="4"/>
        <v>803220.88888996502</v>
      </c>
      <c r="N16" s="721">
        <f t="shared" si="4"/>
        <v>833673.81508502003</v>
      </c>
      <c r="O16" s="721">
        <f t="shared" si="4"/>
        <v>864126.74128007505</v>
      </c>
      <c r="P16" s="721">
        <f t="shared" si="4"/>
        <v>894579.66747513006</v>
      </c>
      <c r="Q16" s="721">
        <f t="shared" si="4"/>
        <v>925032.59367018507</v>
      </c>
      <c r="R16" s="721">
        <f t="shared" si="4"/>
        <v>955485.51986523997</v>
      </c>
      <c r="S16" s="721">
        <f t="shared" si="4"/>
        <v>985938.44606029498</v>
      </c>
      <c r="T16" s="721">
        <f t="shared" si="4"/>
        <v>1016391.37225535</v>
      </c>
      <c r="U16" s="721">
        <f t="shared" si="4"/>
        <v>1046844.2984504051</v>
      </c>
      <c r="V16" s="721">
        <f t="shared" si="4"/>
        <v>1077297.22464546</v>
      </c>
      <c r="W16" s="721">
        <f t="shared" si="4"/>
        <v>1107750.1508405148</v>
      </c>
      <c r="X16" s="721">
        <f t="shared" si="4"/>
        <v>1138203.0770355698</v>
      </c>
      <c r="Y16" s="721">
        <f t="shared" si="4"/>
        <v>1168656.0032306251</v>
      </c>
      <c r="Z16" s="721">
        <f t="shared" si="3"/>
        <v>1199108.9294256801</v>
      </c>
      <c r="AA16" s="721">
        <f t="shared" si="3"/>
        <v>1229561.8556207351</v>
      </c>
      <c r="AB16" s="721">
        <f t="shared" si="3"/>
        <v>1260014.7818157899</v>
      </c>
      <c r="AC16" s="721">
        <f t="shared" si="3"/>
        <v>1290467.7080108451</v>
      </c>
      <c r="AD16" s="721">
        <f t="shared" si="3"/>
        <v>1320920.6342058999</v>
      </c>
    </row>
    <row r="17" spans="2:30" x14ac:dyDescent="0.3">
      <c r="B17" s="178" t="s">
        <v>623</v>
      </c>
      <c r="C17" s="178"/>
      <c r="D17" s="178"/>
      <c r="E17" s="636">
        <f>'Unit Costs'!C41</f>
        <v>1.66</v>
      </c>
      <c r="F17" s="635" t="s">
        <v>572</v>
      </c>
      <c r="G17" s="637">
        <f>'Unit Costs'!C44</f>
        <v>9600000</v>
      </c>
      <c r="H17" s="635" t="s">
        <v>573</v>
      </c>
      <c r="I17" s="616"/>
      <c r="J17" s="721">
        <f t="shared" si="4"/>
        <v>3691007.0784</v>
      </c>
      <c r="K17" s="721">
        <f t="shared" si="3"/>
        <v>3848905.5878400002</v>
      </c>
      <c r="L17" s="721">
        <f t="shared" si="3"/>
        <v>4006804.0972799999</v>
      </c>
      <c r="M17" s="721">
        <f t="shared" si="3"/>
        <v>4164702.60672</v>
      </c>
      <c r="N17" s="721">
        <f t="shared" si="3"/>
        <v>4322601.1161599997</v>
      </c>
      <c r="O17" s="721">
        <f t="shared" si="3"/>
        <v>4480499.6255999999</v>
      </c>
      <c r="P17" s="721">
        <f t="shared" si="3"/>
        <v>4638398.1350400001</v>
      </c>
      <c r="Q17" s="721">
        <f t="shared" si="3"/>
        <v>4796296.6444799993</v>
      </c>
      <c r="R17" s="721">
        <f t="shared" si="3"/>
        <v>4954195.1539199995</v>
      </c>
      <c r="S17" s="721">
        <f t="shared" si="3"/>
        <v>5112093.6633599997</v>
      </c>
      <c r="T17" s="721">
        <f t="shared" si="3"/>
        <v>5269992.1728000008</v>
      </c>
      <c r="U17" s="721">
        <f t="shared" si="3"/>
        <v>5427890.68224</v>
      </c>
      <c r="V17" s="721">
        <f t="shared" si="3"/>
        <v>5585789.1916800002</v>
      </c>
      <c r="W17" s="721">
        <f t="shared" si="3"/>
        <v>5743687.7011199994</v>
      </c>
      <c r="X17" s="721">
        <f t="shared" si="3"/>
        <v>5901586.2105599996</v>
      </c>
      <c r="Y17" s="721">
        <f t="shared" si="3"/>
        <v>6059484.7199999997</v>
      </c>
      <c r="Z17" s="721">
        <f t="shared" si="3"/>
        <v>6217383.229439999</v>
      </c>
      <c r="AA17" s="721">
        <f t="shared" si="3"/>
        <v>6375281.7388800001</v>
      </c>
      <c r="AB17" s="721">
        <f t="shared" si="3"/>
        <v>6533180.2483199993</v>
      </c>
      <c r="AC17" s="721">
        <f t="shared" si="3"/>
        <v>6691078.7577600004</v>
      </c>
      <c r="AD17" s="721">
        <f t="shared" si="3"/>
        <v>6848977.2671999997</v>
      </c>
    </row>
    <row r="18" spans="2:30" x14ac:dyDescent="0.3">
      <c r="B18" s="178" t="s">
        <v>625</v>
      </c>
      <c r="C18" s="178"/>
      <c r="D18" s="178"/>
      <c r="E18" s="636"/>
      <c r="F18" s="635"/>
      <c r="G18" s="637"/>
      <c r="H18" s="635"/>
      <c r="I18" s="616"/>
      <c r="J18" s="215">
        <f>SUM(J15:J17)</f>
        <v>4456103.5582079999</v>
      </c>
      <c r="K18" s="215">
        <f t="shared" ref="K18:AD18" si="5">SUM(K15:K17)</f>
        <v>4646732.3201708002</v>
      </c>
      <c r="L18" s="215">
        <f t="shared" si="5"/>
        <v>4837361.0821335996</v>
      </c>
      <c r="M18" s="215">
        <f t="shared" si="5"/>
        <v>5027989.8440963998</v>
      </c>
      <c r="N18" s="215">
        <f t="shared" si="5"/>
        <v>5218618.6060592001</v>
      </c>
      <c r="O18" s="215">
        <f t="shared" si="5"/>
        <v>5409247.3680220004</v>
      </c>
      <c r="P18" s="215">
        <f t="shared" si="5"/>
        <v>5599876.1299847998</v>
      </c>
      <c r="Q18" s="215">
        <f t="shared" si="5"/>
        <v>5790504.8919475991</v>
      </c>
      <c r="R18" s="215">
        <f t="shared" si="5"/>
        <v>5981133.6539103994</v>
      </c>
      <c r="S18" s="215">
        <f t="shared" si="5"/>
        <v>6171762.4158731997</v>
      </c>
      <c r="T18" s="215">
        <f t="shared" si="5"/>
        <v>6362391.1778360009</v>
      </c>
      <c r="U18" s="215">
        <f t="shared" si="5"/>
        <v>6553019.9397988003</v>
      </c>
      <c r="V18" s="215">
        <f t="shared" si="5"/>
        <v>6743648.7017615996</v>
      </c>
      <c r="W18" s="215">
        <f t="shared" si="5"/>
        <v>6934277.463724399</v>
      </c>
      <c r="X18" s="215">
        <f t="shared" si="5"/>
        <v>7124906.2256871993</v>
      </c>
      <c r="Y18" s="215">
        <f t="shared" si="5"/>
        <v>7315534.9876499996</v>
      </c>
      <c r="Z18" s="215">
        <f t="shared" si="5"/>
        <v>7506163.7496127989</v>
      </c>
      <c r="AA18" s="215">
        <f t="shared" si="5"/>
        <v>7696792.5115756001</v>
      </c>
      <c r="AB18" s="215">
        <f t="shared" si="5"/>
        <v>7887421.2735383995</v>
      </c>
      <c r="AC18" s="215">
        <f t="shared" si="5"/>
        <v>8078050.0355012007</v>
      </c>
      <c r="AD18" s="215">
        <f t="shared" si="5"/>
        <v>8268678.7974640001</v>
      </c>
    </row>
    <row r="19" spans="2:30" x14ac:dyDescent="0.3">
      <c r="B19" s="178" t="s">
        <v>571</v>
      </c>
      <c r="C19" s="178"/>
      <c r="D19" s="178"/>
      <c r="E19" s="616"/>
      <c r="F19" s="616"/>
      <c r="G19" s="616"/>
      <c r="H19" s="616"/>
      <c r="I19" s="616"/>
      <c r="J19" s="722">
        <f>J14+J18</f>
        <v>19953791.38752</v>
      </c>
      <c r="K19" s="722">
        <f t="shared" ref="K19:AD19" si="6">K14+K18</f>
        <v>20807394.803518001</v>
      </c>
      <c r="L19" s="722">
        <f t="shared" si="6"/>
        <v>21660998.219515998</v>
      </c>
      <c r="M19" s="722">
        <f t="shared" si="6"/>
        <v>22514601.635513999</v>
      </c>
      <c r="N19" s="722">
        <f t="shared" si="6"/>
        <v>23368205.051512003</v>
      </c>
      <c r="O19" s="722">
        <f t="shared" si="6"/>
        <v>24221808.46751</v>
      </c>
      <c r="P19" s="722">
        <f t="shared" si="6"/>
        <v>25075411.883507997</v>
      </c>
      <c r="Q19" s="722">
        <f t="shared" si="6"/>
        <v>25929015.299505994</v>
      </c>
      <c r="R19" s="722">
        <f t="shared" si="6"/>
        <v>26782618.715503994</v>
      </c>
      <c r="S19" s="722">
        <f t="shared" si="6"/>
        <v>27636222.131501999</v>
      </c>
      <c r="T19" s="722">
        <f t="shared" si="6"/>
        <v>28489825.547499999</v>
      </c>
      <c r="U19" s="722">
        <f t="shared" si="6"/>
        <v>29343428.963497996</v>
      </c>
      <c r="V19" s="722">
        <f t="shared" si="6"/>
        <v>30197032.379496001</v>
      </c>
      <c r="W19" s="722">
        <f t="shared" si="6"/>
        <v>31050635.795493998</v>
      </c>
      <c r="X19" s="722">
        <f t="shared" si="6"/>
        <v>31904239.211491998</v>
      </c>
      <c r="Y19" s="722">
        <f t="shared" si="6"/>
        <v>32757842.627489999</v>
      </c>
      <c r="Z19" s="722">
        <f t="shared" si="6"/>
        <v>33611446.043487996</v>
      </c>
      <c r="AA19" s="722">
        <f t="shared" si="6"/>
        <v>34465049.459486</v>
      </c>
      <c r="AB19" s="722">
        <f t="shared" si="6"/>
        <v>35318652.875484005</v>
      </c>
      <c r="AC19" s="722">
        <f t="shared" si="6"/>
        <v>36172256.291482002</v>
      </c>
      <c r="AD19" s="722">
        <f t="shared" si="6"/>
        <v>37025859.707479998</v>
      </c>
    </row>
    <row r="20" spans="2:30" x14ac:dyDescent="0.3">
      <c r="B20" s="199" t="s">
        <v>503</v>
      </c>
      <c r="C20" s="199"/>
      <c r="D20" s="199"/>
      <c r="E20" s="199"/>
      <c r="F20" s="199"/>
      <c r="G20" s="199"/>
      <c r="H20" s="199"/>
      <c r="I20" s="199"/>
      <c r="J20" s="323"/>
      <c r="K20" s="323"/>
      <c r="L20" s="323"/>
      <c r="M20" s="323"/>
      <c r="N20" s="323"/>
      <c r="O20" s="323"/>
      <c r="P20" s="323"/>
      <c r="Q20" s="323"/>
      <c r="R20" s="323"/>
      <c r="S20" s="323"/>
      <c r="T20" s="323"/>
      <c r="U20" s="323"/>
      <c r="V20" s="323"/>
      <c r="W20" s="323"/>
      <c r="X20" s="323"/>
      <c r="Y20" s="323"/>
      <c r="Z20" s="323"/>
      <c r="AA20" s="323"/>
      <c r="AB20" s="323"/>
      <c r="AC20" s="323"/>
      <c r="AD20" s="323"/>
    </row>
    <row r="21" spans="2:30" x14ac:dyDescent="0.3">
      <c r="B21" s="611" t="s">
        <v>237</v>
      </c>
      <c r="C21" s="611" t="s">
        <v>95</v>
      </c>
      <c r="D21" s="611"/>
      <c r="E21" s="617"/>
      <c r="F21" s="617"/>
      <c r="G21" s="617"/>
      <c r="H21" s="617"/>
      <c r="I21" s="617"/>
      <c r="J21" s="182">
        <f>'Straight-Line Change'!H15</f>
        <v>80552160</v>
      </c>
      <c r="K21" s="182">
        <f>'Straight-Line Change'!I15</f>
        <v>83998096</v>
      </c>
      <c r="L21" s="182">
        <f>'Straight-Line Change'!J15</f>
        <v>87444032</v>
      </c>
      <c r="M21" s="182">
        <f>'Straight-Line Change'!K15</f>
        <v>90889968</v>
      </c>
      <c r="N21" s="182">
        <f>'Straight-Line Change'!L15</f>
        <v>94335904</v>
      </c>
      <c r="O21" s="182">
        <f>'Straight-Line Change'!M15</f>
        <v>97781840</v>
      </c>
      <c r="P21" s="182">
        <f>'Straight-Line Change'!N15</f>
        <v>101227776</v>
      </c>
      <c r="Q21" s="182">
        <f>'Straight-Line Change'!O15</f>
        <v>104673712</v>
      </c>
      <c r="R21" s="182">
        <f>'Straight-Line Change'!P15</f>
        <v>108119648</v>
      </c>
      <c r="S21" s="182">
        <f>'Straight-Line Change'!Q15</f>
        <v>111565584</v>
      </c>
      <c r="T21" s="182">
        <f>'Straight-Line Change'!R15</f>
        <v>115011520</v>
      </c>
      <c r="U21" s="182">
        <f>'Straight-Line Change'!S15</f>
        <v>118457456</v>
      </c>
      <c r="V21" s="182">
        <f>'Straight-Line Change'!T15</f>
        <v>121903392</v>
      </c>
      <c r="W21" s="182">
        <f>'Straight-Line Change'!U15</f>
        <v>125349328</v>
      </c>
      <c r="X21" s="182">
        <f>'Straight-Line Change'!V15</f>
        <v>128795264</v>
      </c>
      <c r="Y21" s="182">
        <f>'Straight-Line Change'!W15</f>
        <v>132241200</v>
      </c>
      <c r="Z21" s="182">
        <f>'Straight-Line Change'!X15</f>
        <v>135687136</v>
      </c>
      <c r="AA21" s="182">
        <f>'Straight-Line Change'!Y15</f>
        <v>139133072</v>
      </c>
      <c r="AB21" s="182">
        <f>'Straight-Line Change'!Z15</f>
        <v>142579008</v>
      </c>
      <c r="AC21" s="182">
        <f>'Straight-Line Change'!AA15</f>
        <v>146024944</v>
      </c>
      <c r="AD21" s="182">
        <f>'Straight-Line Change'!AB15</f>
        <v>149470880</v>
      </c>
    </row>
    <row r="22" spans="2:30" x14ac:dyDescent="0.3">
      <c r="B22" s="611" t="s">
        <v>237</v>
      </c>
      <c r="C22" s="611" t="s">
        <v>4</v>
      </c>
      <c r="D22" s="611"/>
      <c r="E22" s="617"/>
      <c r="F22" s="617"/>
      <c r="G22" s="617"/>
      <c r="H22" s="617"/>
      <c r="I22" s="617"/>
      <c r="J22" s="182">
        <f>'Straight-Line Change'!H16</f>
        <v>23161440</v>
      </c>
      <c r="K22" s="182">
        <f>'Straight-Line Change'!I16</f>
        <v>24152269</v>
      </c>
      <c r="L22" s="182">
        <f>'Straight-Line Change'!J16</f>
        <v>25143098</v>
      </c>
      <c r="M22" s="182">
        <f>'Straight-Line Change'!K16</f>
        <v>26133927</v>
      </c>
      <c r="N22" s="182">
        <f>'Straight-Line Change'!L16</f>
        <v>27124756</v>
      </c>
      <c r="O22" s="182">
        <f>'Straight-Line Change'!M16</f>
        <v>28115585</v>
      </c>
      <c r="P22" s="182">
        <f>'Straight-Line Change'!N16</f>
        <v>29106414</v>
      </c>
      <c r="Q22" s="182">
        <f>'Straight-Line Change'!O16</f>
        <v>30097243</v>
      </c>
      <c r="R22" s="182">
        <f>'Straight-Line Change'!P16</f>
        <v>31088072</v>
      </c>
      <c r="S22" s="182">
        <f>'Straight-Line Change'!Q16</f>
        <v>32078901</v>
      </c>
      <c r="T22" s="182">
        <f>'Straight-Line Change'!R16</f>
        <v>33069730</v>
      </c>
      <c r="U22" s="182">
        <f>'Straight-Line Change'!S16</f>
        <v>34060559</v>
      </c>
      <c r="V22" s="182">
        <f>'Straight-Line Change'!T16</f>
        <v>35051388</v>
      </c>
      <c r="W22" s="182">
        <f>'Straight-Line Change'!U16</f>
        <v>36042217</v>
      </c>
      <c r="X22" s="182">
        <f>'Straight-Line Change'!V16</f>
        <v>37033046</v>
      </c>
      <c r="Y22" s="182">
        <f>'Straight-Line Change'!W16</f>
        <v>38023875</v>
      </c>
      <c r="Z22" s="182">
        <f>'Straight-Line Change'!X16</f>
        <v>39014704</v>
      </c>
      <c r="AA22" s="182">
        <f>'Straight-Line Change'!Y16</f>
        <v>40005533</v>
      </c>
      <c r="AB22" s="182">
        <f>'Straight-Line Change'!Z16</f>
        <v>40996362</v>
      </c>
      <c r="AC22" s="182">
        <f>'Straight-Line Change'!AA16</f>
        <v>41987191</v>
      </c>
      <c r="AD22" s="182">
        <f>'Straight-Line Change'!AB16</f>
        <v>42978020</v>
      </c>
    </row>
    <row r="23" spans="2:30" x14ac:dyDescent="0.3">
      <c r="B23" s="611" t="s">
        <v>237</v>
      </c>
      <c r="C23" s="611" t="s">
        <v>93</v>
      </c>
      <c r="D23" s="611"/>
      <c r="E23" s="617"/>
      <c r="F23" s="617"/>
      <c r="G23" s="617"/>
      <c r="H23" s="617"/>
      <c r="I23" s="617"/>
      <c r="J23" s="182">
        <f>'Straight-Line Change'!H17</f>
        <v>103713600</v>
      </c>
      <c r="K23" s="182">
        <f>'Straight-Line Change'!I17</f>
        <v>108150365</v>
      </c>
      <c r="L23" s="182">
        <f>'Straight-Line Change'!J17</f>
        <v>112587130</v>
      </c>
      <c r="M23" s="182">
        <f>'Straight-Line Change'!K17</f>
        <v>117023895</v>
      </c>
      <c r="N23" s="182">
        <f>'Straight-Line Change'!L17</f>
        <v>121460660</v>
      </c>
      <c r="O23" s="182">
        <f>'Straight-Line Change'!M17</f>
        <v>125897425</v>
      </c>
      <c r="P23" s="182">
        <f>'Straight-Line Change'!N17</f>
        <v>130334190</v>
      </c>
      <c r="Q23" s="182">
        <f>'Straight-Line Change'!O17</f>
        <v>134770955</v>
      </c>
      <c r="R23" s="182">
        <f>'Straight-Line Change'!P17</f>
        <v>139207720</v>
      </c>
      <c r="S23" s="182">
        <f>'Straight-Line Change'!Q17</f>
        <v>143644485</v>
      </c>
      <c r="T23" s="182">
        <f>'Straight-Line Change'!R17</f>
        <v>148081250</v>
      </c>
      <c r="U23" s="182">
        <f>'Straight-Line Change'!S17</f>
        <v>152518015</v>
      </c>
      <c r="V23" s="182">
        <f>'Straight-Line Change'!T17</f>
        <v>156954780</v>
      </c>
      <c r="W23" s="182">
        <f>'Straight-Line Change'!U17</f>
        <v>161391545</v>
      </c>
      <c r="X23" s="182">
        <f>'Straight-Line Change'!V17</f>
        <v>165828310</v>
      </c>
      <c r="Y23" s="182">
        <f>'Straight-Line Change'!W17</f>
        <v>170265075</v>
      </c>
      <c r="Z23" s="182">
        <f>'Straight-Line Change'!X17</f>
        <v>174701840</v>
      </c>
      <c r="AA23" s="182">
        <f>'Straight-Line Change'!Y17</f>
        <v>179138605</v>
      </c>
      <c r="AB23" s="182">
        <f>'Straight-Line Change'!Z17</f>
        <v>183575370</v>
      </c>
      <c r="AC23" s="182">
        <f>'Straight-Line Change'!AA17</f>
        <v>188012135</v>
      </c>
      <c r="AD23" s="182">
        <f>'Straight-Line Change'!AB17</f>
        <v>192448900</v>
      </c>
    </row>
    <row r="24" spans="2:30" x14ac:dyDescent="0.3">
      <c r="B24" s="178" t="s">
        <v>618</v>
      </c>
      <c r="C24" s="178"/>
      <c r="D24" s="178"/>
      <c r="E24" s="636">
        <f>E11*(1-$I$2)</f>
        <v>46.537500000000001</v>
      </c>
      <c r="F24" s="635" t="s">
        <v>572</v>
      </c>
      <c r="G24" s="637">
        <f>G11</f>
        <v>4198</v>
      </c>
      <c r="H24" s="635" t="s">
        <v>573</v>
      </c>
      <c r="I24" s="616"/>
      <c r="J24" s="191">
        <f>(J$21/100000000)*$E24*$G24</f>
        <v>157370.26420907999</v>
      </c>
      <c r="K24" s="191">
        <f t="shared" ref="K24:AD26" si="7">(K$21/100000000)*$E24*$G24</f>
        <v>164102.397261348</v>
      </c>
      <c r="L24" s="191">
        <f t="shared" si="7"/>
        <v>170834.53031361601</v>
      </c>
      <c r="M24" s="191">
        <f t="shared" si="7"/>
        <v>177566.66336588401</v>
      </c>
      <c r="N24" s="191">
        <f t="shared" si="7"/>
        <v>184298.79641815202</v>
      </c>
      <c r="O24" s="191">
        <f t="shared" si="7"/>
        <v>191030.92947042</v>
      </c>
      <c r="P24" s="191">
        <f t="shared" si="7"/>
        <v>197763.06252268798</v>
      </c>
      <c r="Q24" s="191">
        <f t="shared" si="7"/>
        <v>204495.19557495601</v>
      </c>
      <c r="R24" s="191">
        <f t="shared" si="7"/>
        <v>211227.32862722399</v>
      </c>
      <c r="S24" s="191">
        <f t="shared" si="7"/>
        <v>217959.461679492</v>
      </c>
      <c r="T24" s="191">
        <f t="shared" si="7"/>
        <v>224691.59473175998</v>
      </c>
      <c r="U24" s="191">
        <f t="shared" si="7"/>
        <v>231423.72778402801</v>
      </c>
      <c r="V24" s="191">
        <f t="shared" si="7"/>
        <v>238155.86083629599</v>
      </c>
      <c r="W24" s="191">
        <f t="shared" si="7"/>
        <v>244887.993888564</v>
      </c>
      <c r="X24" s="191">
        <f t="shared" si="7"/>
        <v>251620.12694083204</v>
      </c>
      <c r="Y24" s="191">
        <f t="shared" si="7"/>
        <v>258352.25999309999</v>
      </c>
      <c r="Z24" s="191">
        <f t="shared" si="7"/>
        <v>265084.39304536802</v>
      </c>
      <c r="AA24" s="191">
        <f t="shared" si="7"/>
        <v>271816.52609763597</v>
      </c>
      <c r="AB24" s="191">
        <f t="shared" si="7"/>
        <v>278548.65914990398</v>
      </c>
      <c r="AC24" s="191">
        <f t="shared" si="7"/>
        <v>285280.79220217199</v>
      </c>
      <c r="AD24" s="191">
        <f t="shared" si="7"/>
        <v>292012.92525443999</v>
      </c>
    </row>
    <row r="25" spans="2:30" x14ac:dyDescent="0.3">
      <c r="B25" s="178" t="s">
        <v>619</v>
      </c>
      <c r="C25" s="178"/>
      <c r="D25" s="178"/>
      <c r="E25" s="636">
        <f t="shared" ref="E25:E26" si="8">E12*(1-$I$2)</f>
        <v>19.337499999999999</v>
      </c>
      <c r="F25" s="635" t="s">
        <v>572</v>
      </c>
      <c r="G25" s="637">
        <f>G12</f>
        <v>135098</v>
      </c>
      <c r="H25" s="635" t="s">
        <v>573</v>
      </c>
      <c r="I25" s="616"/>
      <c r="J25" s="191">
        <f>(J$21/100000000)*$E25*$G25</f>
        <v>2104391.0057461197</v>
      </c>
      <c r="K25" s="191">
        <f t="shared" ref="K25:Y25" si="9">(K$21/100000000)*$E25*$G25</f>
        <v>2194414.6218077717</v>
      </c>
      <c r="L25" s="191">
        <f t="shared" si="9"/>
        <v>2284438.2378694243</v>
      </c>
      <c r="M25" s="191">
        <f t="shared" si="9"/>
        <v>2374461.8539310759</v>
      </c>
      <c r="N25" s="191">
        <f t="shared" si="9"/>
        <v>2464485.469992728</v>
      </c>
      <c r="O25" s="191">
        <f t="shared" si="9"/>
        <v>2554509.0860543796</v>
      </c>
      <c r="P25" s="191">
        <f t="shared" si="9"/>
        <v>2644532.7021160317</v>
      </c>
      <c r="Q25" s="191">
        <f t="shared" si="9"/>
        <v>2734556.3181776833</v>
      </c>
      <c r="R25" s="191">
        <f t="shared" si="9"/>
        <v>2824579.9342393358</v>
      </c>
      <c r="S25" s="191">
        <f t="shared" si="9"/>
        <v>2914603.5503009879</v>
      </c>
      <c r="T25" s="191">
        <f t="shared" si="9"/>
        <v>3004627.1663626395</v>
      </c>
      <c r="U25" s="191">
        <f t="shared" si="9"/>
        <v>3094650.7824242916</v>
      </c>
      <c r="V25" s="191">
        <f t="shared" si="9"/>
        <v>3184674.3984859437</v>
      </c>
      <c r="W25" s="191">
        <f t="shared" si="9"/>
        <v>3274698.0145475958</v>
      </c>
      <c r="X25" s="191">
        <f t="shared" si="9"/>
        <v>3364721.6306092483</v>
      </c>
      <c r="Y25" s="191">
        <f t="shared" si="9"/>
        <v>3454745.2466708994</v>
      </c>
      <c r="Z25" s="191">
        <f t="shared" si="7"/>
        <v>3544768.862732552</v>
      </c>
      <c r="AA25" s="191">
        <f t="shared" si="7"/>
        <v>3634792.4787942036</v>
      </c>
      <c r="AB25" s="191">
        <f t="shared" si="7"/>
        <v>3724816.0948558562</v>
      </c>
      <c r="AC25" s="191">
        <f t="shared" si="7"/>
        <v>3814839.7109175078</v>
      </c>
      <c r="AD25" s="191">
        <f t="shared" si="7"/>
        <v>3904863.3269791594</v>
      </c>
    </row>
    <row r="26" spans="2:30" x14ac:dyDescent="0.3">
      <c r="B26" s="178" t="s">
        <v>620</v>
      </c>
      <c r="C26" s="178"/>
      <c r="D26" s="178"/>
      <c r="E26" s="636">
        <f t="shared" si="8"/>
        <v>1.4109999999999998</v>
      </c>
      <c r="F26" s="635" t="s">
        <v>572</v>
      </c>
      <c r="G26" s="637">
        <f>G13</f>
        <v>9600000</v>
      </c>
      <c r="H26" s="635" t="s">
        <v>573</v>
      </c>
      <c r="I26" s="616"/>
      <c r="J26" s="191">
        <f>(J$21/100000000)*$E26*$G26</f>
        <v>10911273.384959998</v>
      </c>
      <c r="K26" s="191">
        <f t="shared" si="7"/>
        <v>11378046.091775998</v>
      </c>
      <c r="L26" s="191">
        <f t="shared" si="7"/>
        <v>11844818.798591999</v>
      </c>
      <c r="M26" s="191">
        <f t="shared" si="7"/>
        <v>12311591.505407998</v>
      </c>
      <c r="N26" s="191">
        <f t="shared" si="7"/>
        <v>12778364.212223997</v>
      </c>
      <c r="O26" s="191">
        <f t="shared" si="7"/>
        <v>13245136.919039998</v>
      </c>
      <c r="P26" s="191">
        <f t="shared" si="7"/>
        <v>13711909.625855997</v>
      </c>
      <c r="Q26" s="191">
        <f t="shared" si="7"/>
        <v>14178682.332671998</v>
      </c>
      <c r="R26" s="191">
        <f t="shared" si="7"/>
        <v>14645455.039487999</v>
      </c>
      <c r="S26" s="191">
        <f t="shared" si="7"/>
        <v>15112227.746303998</v>
      </c>
      <c r="T26" s="191">
        <f t="shared" si="7"/>
        <v>15579000.453119997</v>
      </c>
      <c r="U26" s="191">
        <f t="shared" si="7"/>
        <v>16045773.159935998</v>
      </c>
      <c r="V26" s="191">
        <f t="shared" si="7"/>
        <v>16512545.866751999</v>
      </c>
      <c r="W26" s="191">
        <f t="shared" si="7"/>
        <v>16979318.573567998</v>
      </c>
      <c r="X26" s="191">
        <f t="shared" si="7"/>
        <v>17446091.280384</v>
      </c>
      <c r="Y26" s="191">
        <f t="shared" si="7"/>
        <v>17912863.987199996</v>
      </c>
      <c r="Z26" s="191">
        <f t="shared" si="7"/>
        <v>18379636.694015998</v>
      </c>
      <c r="AA26" s="191">
        <f t="shared" si="7"/>
        <v>18846409.400831997</v>
      </c>
      <c r="AB26" s="191">
        <f t="shared" si="7"/>
        <v>19313182.107647996</v>
      </c>
      <c r="AC26" s="191">
        <f t="shared" si="7"/>
        <v>19779954.814463995</v>
      </c>
      <c r="AD26" s="191">
        <f t="shared" si="7"/>
        <v>20246727.521279998</v>
      </c>
    </row>
    <row r="27" spans="2:30" x14ac:dyDescent="0.3">
      <c r="B27" s="178" t="s">
        <v>624</v>
      </c>
      <c r="C27" s="178"/>
      <c r="D27" s="178"/>
      <c r="E27" s="636"/>
      <c r="F27" s="635"/>
      <c r="G27" s="637"/>
      <c r="H27" s="635"/>
      <c r="I27" s="616"/>
      <c r="J27" s="638">
        <f>SUM(J24:J26)</f>
        <v>13173034.654915197</v>
      </c>
      <c r="K27" s="638">
        <f t="shared" ref="K27" si="10">SUM(K24:K26)</f>
        <v>13736563.110845119</v>
      </c>
      <c r="L27" s="638">
        <f t="shared" ref="L27" si="11">SUM(L24:L26)</f>
        <v>14300091.566775039</v>
      </c>
      <c r="M27" s="638">
        <f t="shared" ref="M27" si="12">SUM(M24:M26)</f>
        <v>14863620.022704959</v>
      </c>
      <c r="N27" s="638">
        <f t="shared" ref="N27" si="13">SUM(N24:N26)</f>
        <v>15427148.478634877</v>
      </c>
      <c r="O27" s="638">
        <f t="shared" ref="O27" si="14">SUM(O24:O26)</f>
        <v>15990676.934564797</v>
      </c>
      <c r="P27" s="638">
        <f t="shared" ref="P27" si="15">SUM(P24:P26)</f>
        <v>16554205.390494717</v>
      </c>
      <c r="Q27" s="638">
        <f t="shared" ref="Q27" si="16">SUM(Q24:Q26)</f>
        <v>17117733.846424639</v>
      </c>
      <c r="R27" s="638">
        <f t="shared" ref="R27" si="17">SUM(R24:R26)</f>
        <v>17681262.302354559</v>
      </c>
      <c r="S27" s="638">
        <f t="shared" ref="S27" si="18">SUM(S24:S26)</f>
        <v>18244790.758284479</v>
      </c>
      <c r="T27" s="638">
        <f t="shared" ref="T27" si="19">SUM(T24:T26)</f>
        <v>18808319.214214396</v>
      </c>
      <c r="U27" s="638">
        <f t="shared" ref="U27" si="20">SUM(U24:U26)</f>
        <v>19371847.670144316</v>
      </c>
      <c r="V27" s="638">
        <f t="shared" ref="V27" si="21">SUM(V24:V26)</f>
        <v>19935376.12607424</v>
      </c>
      <c r="W27" s="638">
        <f t="shared" ref="W27" si="22">SUM(W24:W26)</f>
        <v>20498904.582004156</v>
      </c>
      <c r="X27" s="638">
        <f t="shared" ref="X27" si="23">SUM(X24:X26)</f>
        <v>21062433.03793408</v>
      </c>
      <c r="Y27" s="638">
        <f t="shared" ref="Y27" si="24">SUM(Y24:Y26)</f>
        <v>21625961.493863996</v>
      </c>
      <c r="Z27" s="638">
        <f t="shared" ref="Z27" si="25">SUM(Z24:Z26)</f>
        <v>22189489.94979392</v>
      </c>
      <c r="AA27" s="638">
        <f t="shared" ref="AA27" si="26">SUM(AA24:AA26)</f>
        <v>22753018.405723836</v>
      </c>
      <c r="AB27" s="638">
        <f t="shared" ref="AB27" si="27">SUM(AB24:AB26)</f>
        <v>23316546.861653756</v>
      </c>
      <c r="AC27" s="638">
        <f t="shared" ref="AC27" si="28">SUM(AC24:AC26)</f>
        <v>23880075.317583676</v>
      </c>
      <c r="AD27" s="638">
        <f t="shared" ref="AD27" si="29">SUM(AD24:AD26)</f>
        <v>24443603.773513597</v>
      </c>
    </row>
    <row r="28" spans="2:30" x14ac:dyDescent="0.3">
      <c r="B28" s="178" t="s">
        <v>621</v>
      </c>
      <c r="C28" s="178"/>
      <c r="D28" s="178"/>
      <c r="E28" s="636">
        <f>E15*(1-$I$2)</f>
        <v>46.537500000000001</v>
      </c>
      <c r="F28" s="635" t="s">
        <v>572</v>
      </c>
      <c r="G28" s="637">
        <f t="shared" ref="G28:G30" si="30">G15</f>
        <v>4198</v>
      </c>
      <c r="H28" s="635" t="s">
        <v>573</v>
      </c>
      <c r="I28" s="616"/>
      <c r="J28" s="721">
        <f>(J$22/100000000)*$E28*$G28</f>
        <v>45249.214077719997</v>
      </c>
      <c r="K28" s="721">
        <f t="shared" ref="K28:AD30" si="31">(K$22/100000000)*$E28*$G28</f>
        <v>47184.941456303255</v>
      </c>
      <c r="L28" s="721">
        <f t="shared" si="31"/>
        <v>49120.668834886506</v>
      </c>
      <c r="M28" s="721">
        <f t="shared" si="31"/>
        <v>51056.396213469758</v>
      </c>
      <c r="N28" s="721">
        <f t="shared" si="31"/>
        <v>52992.123592053002</v>
      </c>
      <c r="O28" s="721">
        <f t="shared" si="31"/>
        <v>54927.850970636246</v>
      </c>
      <c r="P28" s="721">
        <f t="shared" si="31"/>
        <v>56863.578349219504</v>
      </c>
      <c r="Q28" s="721">
        <f t="shared" si="31"/>
        <v>58799.305727802755</v>
      </c>
      <c r="R28" s="721">
        <f t="shared" si="31"/>
        <v>60735.033106386007</v>
      </c>
      <c r="S28" s="721">
        <f t="shared" si="31"/>
        <v>62670.760484969243</v>
      </c>
      <c r="T28" s="721">
        <f t="shared" si="31"/>
        <v>64606.487863552509</v>
      </c>
      <c r="U28" s="721">
        <f t="shared" si="31"/>
        <v>66542.215242135746</v>
      </c>
      <c r="V28" s="721">
        <f t="shared" si="31"/>
        <v>68477.942620718997</v>
      </c>
      <c r="W28" s="721">
        <f t="shared" si="31"/>
        <v>70413.669999302248</v>
      </c>
      <c r="X28" s="721">
        <f t="shared" si="31"/>
        <v>72349.3973778855</v>
      </c>
      <c r="Y28" s="721">
        <f t="shared" si="31"/>
        <v>74285.124756468751</v>
      </c>
      <c r="Z28" s="721">
        <f t="shared" si="31"/>
        <v>76220.852135052002</v>
      </c>
      <c r="AA28" s="721">
        <f t="shared" si="31"/>
        <v>78156.579513635254</v>
      </c>
      <c r="AB28" s="721">
        <f t="shared" si="31"/>
        <v>80092.306892218505</v>
      </c>
      <c r="AC28" s="721">
        <f t="shared" si="31"/>
        <v>82028.034270801756</v>
      </c>
      <c r="AD28" s="721">
        <f t="shared" si="31"/>
        <v>83963.761649385007</v>
      </c>
    </row>
    <row r="29" spans="2:30" x14ac:dyDescent="0.3">
      <c r="B29" s="178" t="s">
        <v>622</v>
      </c>
      <c r="C29" s="178"/>
      <c r="D29" s="178"/>
      <c r="E29" s="636">
        <f t="shared" ref="E29:E30" si="32">E16*(1-$I$2)</f>
        <v>19.337499999999999</v>
      </c>
      <c r="F29" s="635" t="s">
        <v>572</v>
      </c>
      <c r="G29" s="637">
        <f t="shared" si="30"/>
        <v>135098</v>
      </c>
      <c r="H29" s="635" t="s">
        <v>573</v>
      </c>
      <c r="I29" s="616"/>
      <c r="J29" s="721">
        <f t="shared" ref="J29:Y30" si="33">(J$22/100000000)*$E29*$G29</f>
        <v>605082.79375907988</v>
      </c>
      <c r="K29" s="721">
        <f t="shared" si="33"/>
        <v>630967.78102487675</v>
      </c>
      <c r="L29" s="721">
        <f t="shared" si="33"/>
        <v>656852.7682906735</v>
      </c>
      <c r="M29" s="721">
        <f t="shared" si="33"/>
        <v>682737.75555647025</v>
      </c>
      <c r="N29" s="721">
        <f t="shared" si="33"/>
        <v>708622.742822267</v>
      </c>
      <c r="O29" s="721">
        <f t="shared" si="33"/>
        <v>734507.73008806375</v>
      </c>
      <c r="P29" s="721">
        <f t="shared" si="33"/>
        <v>760392.7173538605</v>
      </c>
      <c r="Q29" s="721">
        <f t="shared" si="33"/>
        <v>786277.70461965713</v>
      </c>
      <c r="R29" s="721">
        <f t="shared" si="33"/>
        <v>812162.69188545388</v>
      </c>
      <c r="S29" s="721">
        <f t="shared" si="33"/>
        <v>838047.67915125063</v>
      </c>
      <c r="T29" s="721">
        <f t="shared" si="33"/>
        <v>863932.6664170475</v>
      </c>
      <c r="U29" s="721">
        <f t="shared" si="33"/>
        <v>889817.65368284425</v>
      </c>
      <c r="V29" s="721">
        <f t="shared" si="33"/>
        <v>915702.640948641</v>
      </c>
      <c r="W29" s="721">
        <f t="shared" si="33"/>
        <v>941587.62821443775</v>
      </c>
      <c r="X29" s="721">
        <f t="shared" si="33"/>
        <v>967472.61548023426</v>
      </c>
      <c r="Y29" s="721">
        <f t="shared" si="33"/>
        <v>993357.60274603113</v>
      </c>
      <c r="Z29" s="721">
        <f t="shared" si="31"/>
        <v>1019242.5900118279</v>
      </c>
      <c r="AA29" s="721">
        <f t="shared" si="31"/>
        <v>1045127.5772776246</v>
      </c>
      <c r="AB29" s="721">
        <f t="shared" si="31"/>
        <v>1071012.5645434214</v>
      </c>
      <c r="AC29" s="721">
        <f t="shared" si="31"/>
        <v>1096897.5518092182</v>
      </c>
      <c r="AD29" s="721">
        <f t="shared" si="31"/>
        <v>1122782.5390750149</v>
      </c>
    </row>
    <row r="30" spans="2:30" x14ac:dyDescent="0.3">
      <c r="B30" s="178" t="s">
        <v>623</v>
      </c>
      <c r="C30" s="178"/>
      <c r="D30" s="178"/>
      <c r="E30" s="636">
        <f t="shared" si="32"/>
        <v>1.4109999999999998</v>
      </c>
      <c r="F30" s="635" t="s">
        <v>572</v>
      </c>
      <c r="G30" s="637">
        <f t="shared" si="30"/>
        <v>9600000</v>
      </c>
      <c r="H30" s="635" t="s">
        <v>573</v>
      </c>
      <c r="I30" s="616"/>
      <c r="J30" s="721">
        <f t="shared" si="33"/>
        <v>3137356.0166399996</v>
      </c>
      <c r="K30" s="721">
        <f t="shared" si="31"/>
        <v>3271569.7496639998</v>
      </c>
      <c r="L30" s="721">
        <f t="shared" si="31"/>
        <v>3405783.482688</v>
      </c>
      <c r="M30" s="721">
        <f t="shared" si="31"/>
        <v>3539997.2157119997</v>
      </c>
      <c r="N30" s="721">
        <f t="shared" si="31"/>
        <v>3674210.9487359994</v>
      </c>
      <c r="O30" s="721">
        <f t="shared" si="31"/>
        <v>3808424.6817599996</v>
      </c>
      <c r="P30" s="721">
        <f t="shared" si="31"/>
        <v>3942638.4147840003</v>
      </c>
      <c r="Q30" s="721">
        <f t="shared" si="31"/>
        <v>4076852.1478079995</v>
      </c>
      <c r="R30" s="721">
        <f t="shared" si="31"/>
        <v>4211065.8808319997</v>
      </c>
      <c r="S30" s="721">
        <f t="shared" si="31"/>
        <v>4345279.6138559999</v>
      </c>
      <c r="T30" s="721">
        <f t="shared" si="31"/>
        <v>4479493.3468800001</v>
      </c>
      <c r="U30" s="721">
        <f t="shared" si="31"/>
        <v>4613707.0799039993</v>
      </c>
      <c r="V30" s="721">
        <f t="shared" si="31"/>
        <v>4747920.8129279995</v>
      </c>
      <c r="W30" s="721">
        <f t="shared" si="31"/>
        <v>4882134.5459519988</v>
      </c>
      <c r="X30" s="721">
        <f t="shared" si="31"/>
        <v>5016348.278975999</v>
      </c>
      <c r="Y30" s="721">
        <f t="shared" si="31"/>
        <v>5150562.0120000001</v>
      </c>
      <c r="Z30" s="721">
        <f t="shared" si="31"/>
        <v>5284775.7450239984</v>
      </c>
      <c r="AA30" s="721">
        <f t="shared" si="31"/>
        <v>5418989.4780479986</v>
      </c>
      <c r="AB30" s="721">
        <f t="shared" si="31"/>
        <v>5553203.2110719988</v>
      </c>
      <c r="AC30" s="721">
        <f t="shared" si="31"/>
        <v>5687416.9440959999</v>
      </c>
      <c r="AD30" s="721">
        <f t="shared" si="31"/>
        <v>5821630.6771199992</v>
      </c>
    </row>
    <row r="31" spans="2:30" x14ac:dyDescent="0.3">
      <c r="B31" s="178" t="s">
        <v>625</v>
      </c>
      <c r="C31" s="178"/>
      <c r="D31" s="178"/>
      <c r="E31" s="636"/>
      <c r="F31" s="635"/>
      <c r="G31" s="637"/>
      <c r="H31" s="635"/>
      <c r="I31" s="616"/>
      <c r="J31" s="215">
        <f>SUM(J28:J30)</f>
        <v>3787688.0244767992</v>
      </c>
      <c r="K31" s="215">
        <f t="shared" ref="K31" si="34">SUM(K28:K30)</f>
        <v>3949722.4721451798</v>
      </c>
      <c r="L31" s="215">
        <f t="shared" ref="L31" si="35">SUM(L28:L30)</f>
        <v>4111756.9198135599</v>
      </c>
      <c r="M31" s="215">
        <f t="shared" ref="M31" si="36">SUM(M28:M30)</f>
        <v>4273791.3674819395</v>
      </c>
      <c r="N31" s="215">
        <f t="shared" ref="N31" si="37">SUM(N28:N30)</f>
        <v>4435825.8151503196</v>
      </c>
      <c r="O31" s="215">
        <f t="shared" ref="O31" si="38">SUM(O28:O30)</f>
        <v>4597860.2628186997</v>
      </c>
      <c r="P31" s="215">
        <f t="shared" ref="P31" si="39">SUM(P28:P30)</f>
        <v>4759894.7104870807</v>
      </c>
      <c r="Q31" s="215">
        <f t="shared" ref="Q31" si="40">SUM(Q28:Q30)</f>
        <v>4921929.1581554599</v>
      </c>
      <c r="R31" s="215">
        <f t="shared" ref="R31" si="41">SUM(R28:R30)</f>
        <v>5083963.6058238391</v>
      </c>
      <c r="S31" s="215">
        <f t="shared" ref="S31" si="42">SUM(S28:S30)</f>
        <v>5245998.0534922201</v>
      </c>
      <c r="T31" s="215">
        <f t="shared" ref="T31" si="43">SUM(T28:T30)</f>
        <v>5408032.5011606002</v>
      </c>
      <c r="U31" s="215">
        <f t="shared" ref="U31" si="44">SUM(U28:U30)</f>
        <v>5570066.9488289794</v>
      </c>
      <c r="V31" s="215">
        <f t="shared" ref="V31" si="45">SUM(V28:V30)</f>
        <v>5732101.3964973595</v>
      </c>
      <c r="W31" s="215">
        <f t="shared" ref="W31" si="46">SUM(W28:W30)</f>
        <v>5894135.8441657387</v>
      </c>
      <c r="X31" s="215">
        <f t="shared" ref="X31" si="47">SUM(X28:X30)</f>
        <v>6056170.2918341188</v>
      </c>
      <c r="Y31" s="215">
        <f t="shared" ref="Y31" si="48">SUM(Y28:Y30)</f>
        <v>6218204.7395024998</v>
      </c>
      <c r="Z31" s="215">
        <f t="shared" ref="Z31" si="49">SUM(Z28:Z30)</f>
        <v>6380239.1871708781</v>
      </c>
      <c r="AA31" s="215">
        <f t="shared" ref="AA31" si="50">SUM(AA28:AA30)</f>
        <v>6542273.6348392591</v>
      </c>
      <c r="AB31" s="215">
        <f t="shared" ref="AB31" si="51">SUM(AB28:AB30)</f>
        <v>6704308.0825076383</v>
      </c>
      <c r="AC31" s="215">
        <f t="shared" ref="AC31" si="52">SUM(AC28:AC30)</f>
        <v>6866342.5301760202</v>
      </c>
      <c r="AD31" s="215">
        <f t="shared" ref="AD31" si="53">SUM(AD28:AD30)</f>
        <v>7028376.9778443994</v>
      </c>
    </row>
    <row r="32" spans="2:30" x14ac:dyDescent="0.3">
      <c r="B32" s="178" t="s">
        <v>571</v>
      </c>
      <c r="C32" s="178"/>
      <c r="D32" s="178"/>
      <c r="E32" s="616"/>
      <c r="F32" s="616"/>
      <c r="G32" s="616"/>
      <c r="H32" s="616"/>
      <c r="I32" s="616"/>
      <c r="J32" s="722">
        <f>J27+J31</f>
        <v>16960722.679391995</v>
      </c>
      <c r="K32" s="722">
        <f t="shared" ref="K32" si="54">K27+K31</f>
        <v>17686285.5829903</v>
      </c>
      <c r="L32" s="722">
        <f t="shared" ref="L32" si="55">L27+L31</f>
        <v>18411848.486588597</v>
      </c>
      <c r="M32" s="722">
        <f t="shared" ref="M32" si="56">M27+M31</f>
        <v>19137411.390186898</v>
      </c>
      <c r="N32" s="722">
        <f t="shared" ref="N32" si="57">N27+N31</f>
        <v>19862974.293785196</v>
      </c>
      <c r="O32" s="722">
        <f t="shared" ref="O32" si="58">O27+O31</f>
        <v>20588537.197383497</v>
      </c>
      <c r="P32" s="722">
        <f t="shared" ref="P32" si="59">P27+P31</f>
        <v>21314100.100981798</v>
      </c>
      <c r="Q32" s="722">
        <f t="shared" ref="Q32" si="60">Q27+Q31</f>
        <v>22039663.004580099</v>
      </c>
      <c r="R32" s="722">
        <f t="shared" ref="R32" si="61">R27+R31</f>
        <v>22765225.908178397</v>
      </c>
      <c r="S32" s="722">
        <f t="shared" ref="S32" si="62">S27+S31</f>
        <v>23490788.811776698</v>
      </c>
      <c r="T32" s="722">
        <f t="shared" ref="T32" si="63">T27+T31</f>
        <v>24216351.715374995</v>
      </c>
      <c r="U32" s="722">
        <f t="shared" ref="U32" si="64">U27+U31</f>
        <v>24941914.618973296</v>
      </c>
      <c r="V32" s="722">
        <f t="shared" ref="V32" si="65">V27+V31</f>
        <v>25667477.522571601</v>
      </c>
      <c r="W32" s="722">
        <f t="shared" ref="W32" si="66">W27+W31</f>
        <v>26393040.426169895</v>
      </c>
      <c r="X32" s="722">
        <f t="shared" ref="X32" si="67">X27+X31</f>
        <v>27118603.329768199</v>
      </c>
      <c r="Y32" s="722">
        <f t="shared" ref="Y32" si="68">Y27+Y31</f>
        <v>27844166.233366497</v>
      </c>
      <c r="Z32" s="722">
        <f t="shared" ref="Z32" si="69">Z27+Z31</f>
        <v>28569729.136964798</v>
      </c>
      <c r="AA32" s="722">
        <f t="shared" ref="AA32" si="70">AA27+AA31</f>
        <v>29295292.040563095</v>
      </c>
      <c r="AB32" s="722">
        <f t="shared" ref="AB32" si="71">AB27+AB31</f>
        <v>30020854.944161393</v>
      </c>
      <c r="AC32" s="722">
        <f t="shared" ref="AC32" si="72">AC27+AC31</f>
        <v>30746417.847759698</v>
      </c>
      <c r="AD32" s="722">
        <f t="shared" ref="AD32" si="73">AD27+AD31</f>
        <v>31471980.751357995</v>
      </c>
    </row>
    <row r="33" spans="2:30" x14ac:dyDescent="0.3">
      <c r="B33" s="199" t="s">
        <v>567</v>
      </c>
      <c r="C33" s="199"/>
      <c r="D33" s="199"/>
      <c r="E33" s="199"/>
      <c r="F33" s="199"/>
      <c r="G33" s="199"/>
      <c r="H33" s="199"/>
      <c r="I33" s="199"/>
      <c r="J33" s="323"/>
      <c r="K33" s="323"/>
      <c r="L33" s="323"/>
      <c r="M33" s="323"/>
      <c r="N33" s="323"/>
      <c r="O33" s="323"/>
      <c r="P33" s="323"/>
      <c r="Q33" s="323"/>
      <c r="R33" s="323"/>
      <c r="S33" s="323"/>
      <c r="T33" s="323"/>
      <c r="U33" s="323"/>
      <c r="V33" s="323"/>
      <c r="W33" s="323"/>
      <c r="X33" s="323"/>
      <c r="Y33" s="323"/>
      <c r="Z33" s="323"/>
      <c r="AA33" s="323"/>
      <c r="AB33" s="323"/>
      <c r="AC33" s="323"/>
      <c r="AD33" s="323"/>
    </row>
    <row r="34" spans="2:30" x14ac:dyDescent="0.3">
      <c r="B34" s="724" t="s">
        <v>624</v>
      </c>
      <c r="C34" s="723"/>
      <c r="D34" s="723"/>
      <c r="E34" s="723"/>
      <c r="F34" s="723"/>
      <c r="G34" s="723"/>
      <c r="H34" s="723"/>
      <c r="I34" s="723"/>
      <c r="J34" s="725">
        <f>J27-J14</f>
        <v>-2324653.1743968017</v>
      </c>
      <c r="K34" s="725">
        <f t="shared" ref="K34:AD34" si="74">K27-K14</f>
        <v>-2424099.3725020811</v>
      </c>
      <c r="L34" s="725">
        <f t="shared" si="74"/>
        <v>-2523545.5706073605</v>
      </c>
      <c r="M34" s="725">
        <f t="shared" si="74"/>
        <v>-2622991.7687126398</v>
      </c>
      <c r="N34" s="725">
        <f t="shared" si="74"/>
        <v>-2722437.9668179248</v>
      </c>
      <c r="O34" s="725">
        <f t="shared" si="74"/>
        <v>-2821884.1649232004</v>
      </c>
      <c r="P34" s="725">
        <f t="shared" si="74"/>
        <v>-2921330.3630284797</v>
      </c>
      <c r="Q34" s="725">
        <f t="shared" si="74"/>
        <v>-3020776.5611337572</v>
      </c>
      <c r="R34" s="725">
        <f t="shared" si="74"/>
        <v>-3120222.7592390366</v>
      </c>
      <c r="S34" s="725">
        <f t="shared" si="74"/>
        <v>-3219668.9573443197</v>
      </c>
      <c r="T34" s="725">
        <f t="shared" si="74"/>
        <v>-3319115.1554496028</v>
      </c>
      <c r="U34" s="725">
        <f t="shared" si="74"/>
        <v>-3418561.3535548821</v>
      </c>
      <c r="V34" s="725">
        <f t="shared" si="74"/>
        <v>-3518007.5516601615</v>
      </c>
      <c r="W34" s="725">
        <f t="shared" si="74"/>
        <v>-3617453.7497654408</v>
      </c>
      <c r="X34" s="725">
        <f t="shared" si="74"/>
        <v>-3716899.9478707202</v>
      </c>
      <c r="Y34" s="725">
        <f t="shared" si="74"/>
        <v>-3816346.1459760033</v>
      </c>
      <c r="Z34" s="725">
        <f t="shared" si="74"/>
        <v>-3915792.3440812789</v>
      </c>
      <c r="AA34" s="725">
        <f t="shared" si="74"/>
        <v>-4015238.5421865657</v>
      </c>
      <c r="AB34" s="725">
        <f t="shared" si="74"/>
        <v>-4114684.7402918451</v>
      </c>
      <c r="AC34" s="725">
        <f t="shared" si="74"/>
        <v>-4214130.9383971207</v>
      </c>
      <c r="AD34" s="725">
        <f t="shared" si="74"/>
        <v>-4313577.1365024038</v>
      </c>
    </row>
    <row r="35" spans="2:30" x14ac:dyDescent="0.3">
      <c r="B35" s="611" t="s">
        <v>625</v>
      </c>
      <c r="C35" s="723"/>
      <c r="D35" s="723"/>
      <c r="E35" s="723"/>
      <c r="F35" s="723"/>
      <c r="G35" s="723"/>
      <c r="H35" s="723"/>
      <c r="I35" s="723"/>
      <c r="J35" s="725">
        <f>J31-J18</f>
        <v>-668415.53373120073</v>
      </c>
      <c r="K35" s="725">
        <f t="shared" ref="K35:AD35" si="75">K31-K18</f>
        <v>-697009.84802562045</v>
      </c>
      <c r="L35" s="725">
        <f t="shared" si="75"/>
        <v>-725604.1623200397</v>
      </c>
      <c r="M35" s="725">
        <f t="shared" si="75"/>
        <v>-754198.47661446035</v>
      </c>
      <c r="N35" s="725">
        <f t="shared" si="75"/>
        <v>-782792.79090888053</v>
      </c>
      <c r="O35" s="725">
        <f t="shared" si="75"/>
        <v>-811387.10520330071</v>
      </c>
      <c r="P35" s="725">
        <f t="shared" si="75"/>
        <v>-839981.41949771903</v>
      </c>
      <c r="Q35" s="725">
        <f t="shared" si="75"/>
        <v>-868575.73379213922</v>
      </c>
      <c r="R35" s="725">
        <f t="shared" si="75"/>
        <v>-897170.04808656033</v>
      </c>
      <c r="S35" s="725">
        <f t="shared" si="75"/>
        <v>-925764.36238097958</v>
      </c>
      <c r="T35" s="725">
        <f t="shared" si="75"/>
        <v>-954358.6766754007</v>
      </c>
      <c r="U35" s="725">
        <f t="shared" si="75"/>
        <v>-982952.99096982088</v>
      </c>
      <c r="V35" s="725">
        <f t="shared" si="75"/>
        <v>-1011547.3052642401</v>
      </c>
      <c r="W35" s="725">
        <f t="shared" si="75"/>
        <v>-1040141.6195586603</v>
      </c>
      <c r="X35" s="725">
        <f t="shared" si="75"/>
        <v>-1068735.9338530805</v>
      </c>
      <c r="Y35" s="725">
        <f t="shared" si="75"/>
        <v>-1097330.2481474997</v>
      </c>
      <c r="Z35" s="725">
        <f t="shared" si="75"/>
        <v>-1125924.5624419209</v>
      </c>
      <c r="AA35" s="725">
        <f t="shared" si="75"/>
        <v>-1154518.876736341</v>
      </c>
      <c r="AB35" s="725">
        <f t="shared" si="75"/>
        <v>-1183113.1910307612</v>
      </c>
      <c r="AC35" s="725">
        <f t="shared" si="75"/>
        <v>-1211707.5053251805</v>
      </c>
      <c r="AD35" s="725">
        <f t="shared" si="75"/>
        <v>-1240301.8196196007</v>
      </c>
    </row>
    <row r="36" spans="2:30" x14ac:dyDescent="0.3">
      <c r="B36" s="178" t="s">
        <v>571</v>
      </c>
      <c r="C36" s="178"/>
      <c r="D36" s="178"/>
      <c r="E36" s="616"/>
      <c r="F36" s="616"/>
      <c r="G36" s="616"/>
      <c r="H36" s="616"/>
      <c r="I36" s="616"/>
      <c r="J36" s="722">
        <f>J32-J19</f>
        <v>-2993068.7081280053</v>
      </c>
      <c r="K36" s="722">
        <f t="shared" ref="K36:AD36" si="76">K32-K19</f>
        <v>-3121109.2205277011</v>
      </c>
      <c r="L36" s="722">
        <f t="shared" si="76"/>
        <v>-3249149.7329274006</v>
      </c>
      <c r="M36" s="722">
        <f t="shared" si="76"/>
        <v>-3377190.2453271002</v>
      </c>
      <c r="N36" s="722">
        <f t="shared" si="76"/>
        <v>-3505230.7577268071</v>
      </c>
      <c r="O36" s="722">
        <f t="shared" si="76"/>
        <v>-3633271.270126503</v>
      </c>
      <c r="P36" s="722">
        <f t="shared" si="76"/>
        <v>-3761311.7825261988</v>
      </c>
      <c r="Q36" s="722">
        <f t="shared" si="76"/>
        <v>-3889352.2949258946</v>
      </c>
      <c r="R36" s="722">
        <f t="shared" si="76"/>
        <v>-4017392.8073255979</v>
      </c>
      <c r="S36" s="722">
        <f t="shared" si="76"/>
        <v>-4145433.3197253011</v>
      </c>
      <c r="T36" s="722">
        <f t="shared" si="76"/>
        <v>-4273473.8321250044</v>
      </c>
      <c r="U36" s="722">
        <f t="shared" si="76"/>
        <v>-4401514.3445247002</v>
      </c>
      <c r="V36" s="722">
        <f t="shared" si="76"/>
        <v>-4529554.8569243997</v>
      </c>
      <c r="W36" s="722">
        <f t="shared" si="76"/>
        <v>-4657595.369324103</v>
      </c>
      <c r="X36" s="722">
        <f t="shared" si="76"/>
        <v>-4785635.8817237988</v>
      </c>
      <c r="Y36" s="722">
        <f t="shared" si="76"/>
        <v>-4913676.3941235021</v>
      </c>
      <c r="Z36" s="722">
        <f t="shared" si="76"/>
        <v>-5041716.9065231979</v>
      </c>
      <c r="AA36" s="722">
        <f t="shared" si="76"/>
        <v>-5169757.4189229049</v>
      </c>
      <c r="AB36" s="722">
        <f t="shared" si="76"/>
        <v>-5297797.9313226119</v>
      </c>
      <c r="AC36" s="722">
        <f t="shared" si="76"/>
        <v>-5425838.443722304</v>
      </c>
      <c r="AD36" s="722">
        <f t="shared" si="76"/>
        <v>-5553878.9561220035</v>
      </c>
    </row>
    <row r="37" spans="2:30" x14ac:dyDescent="0.3">
      <c r="J37" s="67"/>
      <c r="K37" s="67"/>
      <c r="L37" s="67"/>
      <c r="M37" s="67"/>
      <c r="N37" s="67"/>
      <c r="O37" s="67"/>
      <c r="P37" s="67"/>
      <c r="Q37" s="67"/>
      <c r="R37" s="67"/>
      <c r="S37" s="67"/>
      <c r="T37" s="67"/>
      <c r="U37" s="67"/>
      <c r="V37" s="67"/>
      <c r="W37" s="67"/>
      <c r="X37" s="67"/>
      <c r="Y37" s="67"/>
      <c r="Z37" s="67"/>
      <c r="AA37" s="67"/>
      <c r="AB37" s="67"/>
      <c r="AC37" s="67"/>
      <c r="AD37" s="67"/>
    </row>
    <row r="38" spans="2:30" x14ac:dyDescent="0.3">
      <c r="J38" s="67"/>
      <c r="K38" s="67"/>
      <c r="L38" s="67"/>
      <c r="M38" s="67"/>
      <c r="N38" s="67"/>
      <c r="O38" s="67"/>
      <c r="P38" s="67"/>
      <c r="Q38" s="67"/>
      <c r="R38" s="67"/>
      <c r="S38" s="67"/>
      <c r="T38" s="67"/>
      <c r="U38" s="67"/>
      <c r="V38" s="67"/>
      <c r="W38" s="67"/>
      <c r="X38" s="67"/>
      <c r="Y38" s="67"/>
      <c r="Z38" s="67"/>
      <c r="AA38" s="67"/>
      <c r="AB38" s="67"/>
      <c r="AC38" s="67"/>
      <c r="AD38" s="67"/>
    </row>
    <row r="39" spans="2:30" x14ac:dyDescent="0.3">
      <c r="J39" s="67"/>
      <c r="K39" s="67"/>
      <c r="L39" s="67"/>
      <c r="M39" s="67"/>
      <c r="N39" s="67"/>
      <c r="O39" s="67"/>
      <c r="P39" s="67"/>
      <c r="Q39" s="67"/>
      <c r="R39" s="67"/>
      <c r="S39" s="67"/>
      <c r="T39" s="67"/>
      <c r="U39" s="67"/>
      <c r="V39" s="67"/>
      <c r="W39" s="67"/>
      <c r="X39" s="67"/>
      <c r="Y39" s="67"/>
      <c r="Z39" s="67"/>
      <c r="AA39" s="67"/>
      <c r="AB39" s="67"/>
      <c r="AC39" s="67"/>
      <c r="AD39" s="67"/>
    </row>
    <row r="40" spans="2:30" x14ac:dyDescent="0.3">
      <c r="J40" s="67"/>
      <c r="K40" s="67"/>
      <c r="L40" s="67"/>
      <c r="M40" s="67"/>
      <c r="N40" s="67"/>
      <c r="O40" s="67"/>
      <c r="P40" s="67"/>
      <c r="Q40" s="67"/>
      <c r="R40" s="67"/>
      <c r="S40" s="67"/>
      <c r="T40" s="67"/>
      <c r="U40" s="67"/>
      <c r="V40" s="67"/>
      <c r="W40" s="67"/>
      <c r="X40" s="67"/>
      <c r="Y40" s="67"/>
      <c r="Z40" s="67"/>
      <c r="AA40" s="67"/>
      <c r="AB40" s="67"/>
      <c r="AC40" s="67"/>
      <c r="AD40" s="67"/>
    </row>
    <row r="41" spans="2:30" x14ac:dyDescent="0.3">
      <c r="J41" s="67"/>
      <c r="K41" s="67"/>
      <c r="L41" s="67"/>
      <c r="M41" s="67"/>
      <c r="N41" s="67"/>
      <c r="O41" s="67"/>
      <c r="P41" s="67"/>
      <c r="Q41" s="67"/>
      <c r="R41" s="67"/>
      <c r="S41" s="67"/>
      <c r="T41" s="67"/>
      <c r="U41" s="67"/>
      <c r="V41" s="67"/>
      <c r="W41" s="67"/>
      <c r="X41" s="67"/>
      <c r="Y41" s="67"/>
      <c r="Z41" s="67"/>
      <c r="AA41" s="67"/>
      <c r="AB41" s="67"/>
      <c r="AC41" s="67"/>
      <c r="AD41" s="67"/>
    </row>
    <row r="42" spans="2:30" x14ac:dyDescent="0.3">
      <c r="J42" s="67"/>
      <c r="K42" s="67"/>
      <c r="L42" s="67"/>
      <c r="M42" s="67"/>
      <c r="N42" s="67"/>
      <c r="O42" s="67"/>
      <c r="P42" s="67"/>
      <c r="Q42" s="67"/>
      <c r="R42" s="67"/>
      <c r="S42" s="67"/>
      <c r="T42" s="67"/>
      <c r="U42" s="67"/>
      <c r="V42" s="67"/>
      <c r="W42" s="67"/>
      <c r="X42" s="67"/>
      <c r="Y42" s="67"/>
      <c r="Z42" s="67"/>
      <c r="AA42" s="67"/>
      <c r="AB42" s="67"/>
      <c r="AC42" s="67"/>
      <c r="AD42" s="67"/>
    </row>
    <row r="43" spans="2:30" x14ac:dyDescent="0.3">
      <c r="J43" s="67"/>
      <c r="K43" s="67"/>
      <c r="L43" s="67"/>
      <c r="M43" s="67"/>
      <c r="N43" s="67"/>
      <c r="O43" s="67"/>
      <c r="P43" s="67"/>
      <c r="Q43" s="67"/>
      <c r="R43" s="67"/>
      <c r="S43" s="67"/>
      <c r="T43" s="67"/>
      <c r="U43" s="67"/>
      <c r="V43" s="67"/>
      <c r="W43" s="67"/>
      <c r="X43" s="67"/>
      <c r="Y43" s="67"/>
      <c r="Z43" s="67"/>
      <c r="AA43" s="67"/>
      <c r="AB43" s="67"/>
      <c r="AC43" s="67"/>
      <c r="AD43" s="67"/>
    </row>
    <row r="44" spans="2:30" x14ac:dyDescent="0.3">
      <c r="J44" s="67"/>
      <c r="K44" s="67"/>
      <c r="L44" s="67"/>
      <c r="M44" s="67"/>
      <c r="N44" s="67"/>
      <c r="O44" s="67"/>
      <c r="P44" s="67"/>
      <c r="Q44" s="67"/>
      <c r="R44" s="67"/>
      <c r="S44" s="67"/>
      <c r="T44" s="67"/>
      <c r="U44" s="67"/>
      <c r="V44" s="67"/>
      <c r="W44" s="67"/>
      <c r="X44" s="67"/>
      <c r="Y44" s="67"/>
      <c r="Z44" s="67"/>
      <c r="AA44" s="67"/>
      <c r="AB44" s="67"/>
      <c r="AC44" s="67"/>
      <c r="AD44" s="67"/>
    </row>
    <row r="45" spans="2:30" x14ac:dyDescent="0.3">
      <c r="J45" s="67"/>
      <c r="K45" s="67"/>
      <c r="L45" s="67"/>
      <c r="M45" s="67"/>
      <c r="N45" s="67"/>
      <c r="O45" s="67"/>
      <c r="P45" s="67"/>
      <c r="Q45" s="67"/>
      <c r="R45" s="67"/>
      <c r="S45" s="67"/>
      <c r="T45" s="67"/>
      <c r="U45" s="67"/>
      <c r="V45" s="67"/>
      <c r="W45" s="67"/>
      <c r="X45" s="67"/>
      <c r="Y45" s="67"/>
      <c r="Z45" s="67"/>
      <c r="AA45" s="67"/>
      <c r="AB45" s="67"/>
      <c r="AC45" s="67"/>
      <c r="AD45" s="6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9"/>
  <sheetViews>
    <sheetView zoomScale="80" zoomScaleNormal="80" workbookViewId="0">
      <selection activeCell="F17" sqref="F17"/>
    </sheetView>
  </sheetViews>
  <sheetFormatPr defaultRowHeight="14.4" x14ac:dyDescent="0.3"/>
  <cols>
    <col min="2" max="2" width="25.21875" bestFit="1" customWidth="1"/>
    <col min="3" max="3" width="25.109375" customWidth="1"/>
    <col min="6" max="6" width="23" customWidth="1"/>
    <col min="8" max="26" width="10.21875" customWidth="1"/>
  </cols>
  <sheetData>
    <row r="1" spans="2:26" ht="15" thickBot="1" x14ac:dyDescent="0.35"/>
    <row r="2" spans="2:26" ht="29.4" thickBot="1" x14ac:dyDescent="0.35">
      <c r="B2" s="238" t="s">
        <v>300</v>
      </c>
      <c r="C2" s="236" t="s">
        <v>301</v>
      </c>
      <c r="D2" s="236" t="s">
        <v>302</v>
      </c>
      <c r="E2" s="239" t="s">
        <v>303</v>
      </c>
      <c r="F2" s="237" t="s">
        <v>305</v>
      </c>
    </row>
    <row r="3" spans="2:26" ht="15" thickBot="1" x14ac:dyDescent="0.35">
      <c r="B3" s="248" t="s">
        <v>304</v>
      </c>
      <c r="C3" s="249"/>
      <c r="D3" s="249"/>
      <c r="E3" s="250"/>
      <c r="F3" s="127">
        <f>5.4*2</f>
        <v>10.8</v>
      </c>
    </row>
    <row r="4" spans="2:26" s="320" customFormat="1" x14ac:dyDescent="0.3">
      <c r="B4" s="317"/>
      <c r="C4" s="318"/>
      <c r="D4" s="318"/>
      <c r="E4" s="318"/>
      <c r="F4" s="319"/>
    </row>
    <row r="5" spans="2:26" ht="15" thickBot="1" x14ac:dyDescent="0.35">
      <c r="C5" s="1" t="s">
        <v>355</v>
      </c>
    </row>
    <row r="6" spans="2:26" ht="15" thickBot="1" x14ac:dyDescent="0.35">
      <c r="B6" s="240" t="s">
        <v>356</v>
      </c>
      <c r="C6" s="720">
        <f>'Unit Costs'!C48</f>
        <v>3614.2867848534288</v>
      </c>
    </row>
    <row r="8" spans="2:26" s="1" customFormat="1" x14ac:dyDescent="0.3">
      <c r="B8" s="18" t="s">
        <v>32</v>
      </c>
      <c r="C8" s="235">
        <v>2017</v>
      </c>
      <c r="D8" s="235">
        <v>2018</v>
      </c>
      <c r="E8" s="235">
        <v>2019</v>
      </c>
      <c r="F8" s="235">
        <v>2020</v>
      </c>
      <c r="G8" s="235">
        <v>2021</v>
      </c>
      <c r="H8" s="235">
        <v>2022</v>
      </c>
      <c r="I8" s="235">
        <v>2023</v>
      </c>
      <c r="J8" s="235">
        <v>2024</v>
      </c>
      <c r="K8" s="235">
        <v>2025</v>
      </c>
      <c r="L8" s="235">
        <v>2026</v>
      </c>
      <c r="M8" s="235">
        <v>2027</v>
      </c>
      <c r="N8" s="235">
        <v>2028</v>
      </c>
      <c r="O8" s="235">
        <v>2029</v>
      </c>
      <c r="P8" s="235">
        <v>2030</v>
      </c>
      <c r="Q8" s="235">
        <v>2031</v>
      </c>
      <c r="R8" s="235">
        <v>2032</v>
      </c>
      <c r="S8" s="235">
        <v>2033</v>
      </c>
      <c r="T8" s="235">
        <v>2034</v>
      </c>
      <c r="U8" s="235">
        <v>2035</v>
      </c>
      <c r="V8" s="235">
        <v>2036</v>
      </c>
      <c r="W8" s="235">
        <v>2037</v>
      </c>
      <c r="X8" s="235">
        <v>2038</v>
      </c>
      <c r="Y8" s="235">
        <v>2039</v>
      </c>
      <c r="Z8" s="235">
        <v>2040</v>
      </c>
    </row>
    <row r="9" spans="2:26" x14ac:dyDescent="0.3">
      <c r="B9" s="251" t="s">
        <v>357</v>
      </c>
      <c r="C9" s="252">
        <v>0</v>
      </c>
      <c r="D9" s="252">
        <v>0</v>
      </c>
      <c r="E9" s="252">
        <v>0</v>
      </c>
      <c r="F9" s="252">
        <v>0</v>
      </c>
      <c r="G9" s="252">
        <f t="shared" ref="F9:H9" si="0">$F$3*$C$6</f>
        <v>39034.297276417034</v>
      </c>
      <c r="H9" s="252">
        <f t="shared" si="0"/>
        <v>39034.297276417034</v>
      </c>
      <c r="I9" s="252">
        <f t="shared" ref="I9:Z9" si="1">$F$3*$C$6</f>
        <v>39034.297276417034</v>
      </c>
      <c r="J9" s="252">
        <f t="shared" si="1"/>
        <v>39034.297276417034</v>
      </c>
      <c r="K9" s="252">
        <f t="shared" si="1"/>
        <v>39034.297276417034</v>
      </c>
      <c r="L9" s="252">
        <f t="shared" si="1"/>
        <v>39034.297276417034</v>
      </c>
      <c r="M9" s="252">
        <f t="shared" si="1"/>
        <v>39034.297276417034</v>
      </c>
      <c r="N9" s="252">
        <f t="shared" si="1"/>
        <v>39034.297276417034</v>
      </c>
      <c r="O9" s="252">
        <f t="shared" si="1"/>
        <v>39034.297276417034</v>
      </c>
      <c r="P9" s="252">
        <f t="shared" si="1"/>
        <v>39034.297276417034</v>
      </c>
      <c r="Q9" s="252">
        <f t="shared" si="1"/>
        <v>39034.297276417034</v>
      </c>
      <c r="R9" s="252">
        <f t="shared" si="1"/>
        <v>39034.297276417034</v>
      </c>
      <c r="S9" s="252">
        <f t="shared" si="1"/>
        <v>39034.297276417034</v>
      </c>
      <c r="T9" s="252">
        <f t="shared" si="1"/>
        <v>39034.297276417034</v>
      </c>
      <c r="U9" s="252">
        <f t="shared" si="1"/>
        <v>39034.297276417034</v>
      </c>
      <c r="V9" s="252">
        <f t="shared" si="1"/>
        <v>39034.297276417034</v>
      </c>
      <c r="W9" s="252">
        <f t="shared" si="1"/>
        <v>39034.297276417034</v>
      </c>
      <c r="X9" s="252">
        <f t="shared" si="1"/>
        <v>39034.297276417034</v>
      </c>
      <c r="Y9" s="252">
        <f t="shared" si="1"/>
        <v>39034.297276417034</v>
      </c>
      <c r="Z9" s="252">
        <f t="shared" si="1"/>
        <v>39034.297276417034</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6"/>
  <sheetViews>
    <sheetView workbookViewId="0">
      <selection activeCell="G22" sqref="G22"/>
    </sheetView>
  </sheetViews>
  <sheetFormatPr defaultRowHeight="14.4" x14ac:dyDescent="0.3"/>
  <cols>
    <col min="1" max="1" width="18.77734375" customWidth="1"/>
    <col min="2" max="2" width="23.44140625" bestFit="1" customWidth="1"/>
    <col min="3" max="3" width="16" customWidth="1"/>
    <col min="4" max="9" width="13.44140625" customWidth="1"/>
  </cols>
  <sheetData>
    <row r="2" spans="2:9" x14ac:dyDescent="0.3">
      <c r="C2" s="1">
        <v>2016</v>
      </c>
      <c r="D2" s="1">
        <v>2017</v>
      </c>
      <c r="E2" s="1">
        <v>2018</v>
      </c>
      <c r="F2" s="1">
        <v>2019</v>
      </c>
      <c r="G2" s="1">
        <v>2020</v>
      </c>
      <c r="H2" s="1">
        <v>2021</v>
      </c>
      <c r="I2" s="1" t="s">
        <v>93</v>
      </c>
    </row>
    <row r="3" spans="2:9" x14ac:dyDescent="0.3">
      <c r="B3" t="s">
        <v>677</v>
      </c>
      <c r="C3" s="196">
        <f>I3</f>
        <v>3362444.54</v>
      </c>
      <c r="D3" s="1"/>
      <c r="E3" s="1"/>
      <c r="F3" s="1"/>
      <c r="G3" s="1"/>
      <c r="H3" s="1"/>
      <c r="I3" s="196">
        <v>3362444.54</v>
      </c>
    </row>
    <row r="4" spans="2:9" x14ac:dyDescent="0.3">
      <c r="B4" t="s">
        <v>678</v>
      </c>
      <c r="C4" s="196">
        <f t="shared" ref="C4:C5" si="0">I4</f>
        <v>577172.46</v>
      </c>
      <c r="D4" s="1"/>
      <c r="E4" s="1"/>
      <c r="F4" s="1"/>
      <c r="G4" s="1"/>
      <c r="H4" s="1"/>
      <c r="I4" s="196">
        <v>577172.46</v>
      </c>
    </row>
    <row r="5" spans="2:9" x14ac:dyDescent="0.3">
      <c r="B5" t="s">
        <v>679</v>
      </c>
      <c r="C5" s="196">
        <f t="shared" si="0"/>
        <v>4675000</v>
      </c>
      <c r="D5" s="1"/>
      <c r="E5" s="1"/>
      <c r="F5" s="1"/>
      <c r="G5" s="1"/>
      <c r="H5" s="1"/>
      <c r="I5" s="196">
        <v>4675000</v>
      </c>
    </row>
    <row r="6" spans="2:9" x14ac:dyDescent="0.3">
      <c r="B6" t="s">
        <v>680</v>
      </c>
      <c r="C6" s="1"/>
      <c r="D6" s="196">
        <f>I6</f>
        <v>925956</v>
      </c>
      <c r="E6" s="1"/>
      <c r="F6" s="1"/>
      <c r="G6" s="1"/>
      <c r="H6" s="1"/>
      <c r="I6" s="196">
        <v>925956</v>
      </c>
    </row>
    <row r="7" spans="2:9" x14ac:dyDescent="0.3">
      <c r="B7" t="s">
        <v>681</v>
      </c>
      <c r="C7" s="1"/>
      <c r="D7" s="1"/>
      <c r="E7" s="2">
        <f>$I7/3</f>
        <v>2829980.3333333335</v>
      </c>
      <c r="F7" s="2">
        <f t="shared" ref="F7:G8" si="1">$I7/3</f>
        <v>2829980.3333333335</v>
      </c>
      <c r="G7" s="2">
        <f t="shared" si="1"/>
        <v>2829980.3333333335</v>
      </c>
      <c r="H7" s="1"/>
      <c r="I7" s="196">
        <v>8489941</v>
      </c>
    </row>
    <row r="8" spans="2:9" x14ac:dyDescent="0.3">
      <c r="B8" t="s">
        <v>682</v>
      </c>
      <c r="C8" s="1"/>
      <c r="D8" s="1"/>
      <c r="E8" s="2">
        <f>$I8/3</f>
        <v>37044785.333333336</v>
      </c>
      <c r="F8" s="2">
        <f t="shared" si="1"/>
        <v>37044785.333333336</v>
      </c>
      <c r="G8" s="2">
        <f t="shared" si="1"/>
        <v>37044785.333333336</v>
      </c>
      <c r="H8" s="1"/>
      <c r="I8" s="196">
        <v>111134356</v>
      </c>
    </row>
    <row r="9" spans="2:9" x14ac:dyDescent="0.3">
      <c r="B9" t="s">
        <v>93</v>
      </c>
      <c r="C9" s="196">
        <f>SUM(C3:C8)</f>
        <v>8614617</v>
      </c>
      <c r="D9" s="196">
        <f t="shared" ref="D9:I9" si="2">SUM(D3:D8)</f>
        <v>925956</v>
      </c>
      <c r="E9" s="196">
        <f t="shared" si="2"/>
        <v>39874765.666666672</v>
      </c>
      <c r="F9" s="196">
        <f t="shared" si="2"/>
        <v>39874765.666666672</v>
      </c>
      <c r="G9" s="196">
        <f t="shared" si="2"/>
        <v>39874765.666666672</v>
      </c>
      <c r="H9" s="196">
        <f>SUM(H3:H8)</f>
        <v>0</v>
      </c>
      <c r="I9" s="196">
        <f t="shared" si="2"/>
        <v>129164870</v>
      </c>
    </row>
    <row r="11" spans="2:9" x14ac:dyDescent="0.3">
      <c r="B11" t="s">
        <v>479</v>
      </c>
      <c r="I11" s="196">
        <v>73544506</v>
      </c>
    </row>
    <row r="12" spans="2:9" x14ac:dyDescent="0.3">
      <c r="B12" t="s">
        <v>480</v>
      </c>
      <c r="I12" s="196">
        <v>37589850</v>
      </c>
    </row>
    <row r="13" spans="2:9" x14ac:dyDescent="0.3">
      <c r="B13" t="s">
        <v>481</v>
      </c>
      <c r="I13" s="196">
        <v>111134356</v>
      </c>
    </row>
    <row r="14" spans="2:9" ht="15" thickBot="1" x14ac:dyDescent="0.35"/>
    <row r="15" spans="2:9" ht="15" thickBot="1" x14ac:dyDescent="0.35">
      <c r="B15" s="776" t="s">
        <v>32</v>
      </c>
      <c r="C15" s="778">
        <v>2016</v>
      </c>
      <c r="D15" s="406">
        <v>2017</v>
      </c>
      <c r="E15" s="406">
        <v>2018</v>
      </c>
      <c r="F15" s="406">
        <v>2019</v>
      </c>
      <c r="G15" s="406">
        <v>2020</v>
      </c>
      <c r="H15" s="406">
        <v>2021</v>
      </c>
      <c r="I15" s="779" t="s">
        <v>93</v>
      </c>
    </row>
    <row r="16" spans="2:9" ht="15" thickBot="1" x14ac:dyDescent="0.35">
      <c r="B16" s="777" t="s">
        <v>458</v>
      </c>
      <c r="C16" s="780">
        <f>C9</f>
        <v>8614617</v>
      </c>
      <c r="D16" s="781">
        <f t="shared" ref="D16:I16" si="3">D9</f>
        <v>925956</v>
      </c>
      <c r="E16" s="781">
        <f t="shared" si="3"/>
        <v>39874765.666666672</v>
      </c>
      <c r="F16" s="781">
        <f t="shared" si="3"/>
        <v>39874765.666666672</v>
      </c>
      <c r="G16" s="781">
        <f t="shared" si="3"/>
        <v>39874765.666666672</v>
      </c>
      <c r="H16" s="781">
        <f t="shared" si="3"/>
        <v>0</v>
      </c>
      <c r="I16" s="782">
        <f t="shared" si="3"/>
        <v>129164870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X38"/>
  <sheetViews>
    <sheetView workbookViewId="0">
      <pane xSplit="3" ySplit="6" topLeftCell="D25" activePane="bottomRight" state="frozen"/>
      <selection pane="topRight" activeCell="D1" sqref="D1"/>
      <selection pane="bottomLeft" activeCell="A8" sqref="A8"/>
      <selection pane="bottomRight" activeCell="I36" sqref="I36"/>
    </sheetView>
  </sheetViews>
  <sheetFormatPr defaultRowHeight="14.4" x14ac:dyDescent="0.3"/>
  <cols>
    <col min="1" max="1" width="3.33203125" customWidth="1"/>
    <col min="2" max="2" width="19.33203125" bestFit="1" customWidth="1"/>
    <col min="3" max="3" width="16.44140625" customWidth="1"/>
    <col min="4" max="4" width="17.6640625" style="1" bestFit="1" customWidth="1"/>
    <col min="5" max="5" width="14.44140625" style="1" customWidth="1"/>
    <col min="6" max="23" width="12" style="1" customWidth="1"/>
    <col min="24" max="24" width="12.21875" style="1" customWidth="1"/>
  </cols>
  <sheetData>
    <row r="1" spans="2:24" ht="9" customHeight="1" x14ac:dyDescent="0.3"/>
    <row r="2" spans="2:24" ht="18" x14ac:dyDescent="0.35">
      <c r="B2" s="186" t="s">
        <v>635</v>
      </c>
      <c r="C2" s="184"/>
      <c r="D2" s="185"/>
      <c r="E2" s="185"/>
      <c r="F2" s="185"/>
      <c r="G2" s="185"/>
      <c r="H2" s="185"/>
      <c r="I2" s="185"/>
      <c r="J2" s="185"/>
      <c r="K2" s="185"/>
      <c r="L2" s="185"/>
      <c r="M2" s="185"/>
      <c r="N2" s="185"/>
      <c r="O2" s="185"/>
      <c r="P2" s="185"/>
      <c r="Q2" s="185"/>
      <c r="R2" s="185"/>
      <c r="S2" s="185"/>
      <c r="T2" s="185"/>
      <c r="U2" s="185"/>
      <c r="V2" s="185"/>
      <c r="W2" s="185"/>
      <c r="X2" s="185"/>
    </row>
    <row r="3" spans="2:24" x14ac:dyDescent="0.3">
      <c r="B3" s="184"/>
      <c r="C3" s="184"/>
      <c r="D3" s="185"/>
      <c r="E3" s="185"/>
      <c r="F3" s="185"/>
      <c r="G3" s="185"/>
      <c r="H3" s="185"/>
      <c r="I3" s="185"/>
      <c r="J3" s="185"/>
      <c r="K3" s="185"/>
      <c r="L3" s="185"/>
      <c r="M3" s="185"/>
      <c r="N3" s="185"/>
      <c r="O3" s="185"/>
      <c r="P3" s="185"/>
      <c r="Q3" s="185"/>
      <c r="R3" s="185"/>
      <c r="S3" s="185"/>
      <c r="T3" s="185"/>
      <c r="U3" s="185"/>
      <c r="V3" s="185"/>
      <c r="W3" s="185"/>
      <c r="X3" s="185"/>
    </row>
    <row r="4" spans="2:24" x14ac:dyDescent="0.3">
      <c r="B4" s="184"/>
      <c r="C4" s="184"/>
      <c r="D4" s="185"/>
      <c r="E4" s="185"/>
      <c r="F4" s="185"/>
      <c r="G4" s="185"/>
      <c r="H4" s="185"/>
      <c r="I4" s="185"/>
      <c r="J4" s="185"/>
      <c r="K4" s="185"/>
      <c r="L4" s="185"/>
      <c r="M4" s="185"/>
      <c r="N4" s="185"/>
      <c r="O4" s="185"/>
      <c r="P4" s="185"/>
      <c r="Q4" s="185"/>
      <c r="R4" s="185"/>
      <c r="S4" s="185"/>
      <c r="T4" s="185"/>
      <c r="U4" s="185"/>
      <c r="V4" s="185"/>
      <c r="W4" s="185"/>
      <c r="X4" s="185"/>
    </row>
    <row r="5" spans="2:24" x14ac:dyDescent="0.3">
      <c r="B5" s="184"/>
      <c r="C5" s="184"/>
      <c r="D5" s="185">
        <v>0</v>
      </c>
      <c r="E5" s="185">
        <v>1</v>
      </c>
      <c r="F5" s="185">
        <v>2</v>
      </c>
      <c r="G5" s="185">
        <v>3</v>
      </c>
      <c r="H5" s="185">
        <v>4</v>
      </c>
      <c r="I5" s="185">
        <v>5</v>
      </c>
      <c r="J5" s="185">
        <v>6</v>
      </c>
      <c r="K5" s="185">
        <v>7</v>
      </c>
      <c r="L5" s="185">
        <v>8</v>
      </c>
      <c r="M5" s="185">
        <v>9</v>
      </c>
      <c r="N5" s="185">
        <v>10</v>
      </c>
      <c r="O5" s="185">
        <v>11</v>
      </c>
      <c r="P5" s="185">
        <v>12</v>
      </c>
      <c r="Q5" s="185">
        <v>13</v>
      </c>
      <c r="R5" s="185">
        <v>14</v>
      </c>
      <c r="S5" s="185">
        <v>15</v>
      </c>
      <c r="T5" s="185">
        <v>16</v>
      </c>
      <c r="U5" s="185">
        <v>17</v>
      </c>
      <c r="V5" s="185">
        <v>18</v>
      </c>
      <c r="W5" s="185">
        <v>19</v>
      </c>
      <c r="X5" s="185">
        <v>20</v>
      </c>
    </row>
    <row r="6" spans="2:24" x14ac:dyDescent="0.3">
      <c r="B6" s="184"/>
      <c r="C6" s="184"/>
      <c r="D6" s="653">
        <v>2020</v>
      </c>
      <c r="E6" s="653">
        <v>2021</v>
      </c>
      <c r="F6" s="653">
        <v>2022</v>
      </c>
      <c r="G6" s="653">
        <v>2023</v>
      </c>
      <c r="H6" s="653">
        <v>2024</v>
      </c>
      <c r="I6" s="653">
        <v>2025</v>
      </c>
      <c r="J6" s="653">
        <v>2026</v>
      </c>
      <c r="K6" s="653">
        <v>2027</v>
      </c>
      <c r="L6" s="653">
        <v>2028</v>
      </c>
      <c r="M6" s="653">
        <v>2029</v>
      </c>
      <c r="N6" s="653">
        <v>2030</v>
      </c>
      <c r="O6" s="653">
        <v>2031</v>
      </c>
      <c r="P6" s="653">
        <v>2032</v>
      </c>
      <c r="Q6" s="653">
        <v>2033</v>
      </c>
      <c r="R6" s="653">
        <v>2034</v>
      </c>
      <c r="S6" s="653">
        <v>2035</v>
      </c>
      <c r="T6" s="653">
        <v>2036</v>
      </c>
      <c r="U6" s="653">
        <v>2037</v>
      </c>
      <c r="V6" s="653">
        <v>2038</v>
      </c>
      <c r="W6" s="653">
        <v>2039</v>
      </c>
      <c r="X6" s="653">
        <v>2040</v>
      </c>
    </row>
    <row r="7" spans="2:24" x14ac:dyDescent="0.3">
      <c r="B7" s="199" t="s">
        <v>629</v>
      </c>
      <c r="C7" s="340"/>
      <c r="D7" s="607"/>
      <c r="E7" s="607"/>
      <c r="F7" s="607"/>
      <c r="G7" s="607"/>
      <c r="H7" s="607"/>
      <c r="I7" s="607"/>
      <c r="J7" s="607"/>
      <c r="K7" s="607"/>
      <c r="L7" s="607"/>
      <c r="M7" s="607"/>
      <c r="N7" s="607"/>
      <c r="O7" s="607"/>
      <c r="P7" s="607"/>
      <c r="Q7" s="607"/>
      <c r="R7" s="607"/>
      <c r="S7" s="607"/>
      <c r="T7" s="607"/>
      <c r="U7" s="607"/>
      <c r="V7" s="607"/>
      <c r="W7" s="607"/>
      <c r="X7" s="607"/>
    </row>
    <row r="8" spans="2:24" x14ac:dyDescent="0.3">
      <c r="B8" s="194"/>
      <c r="C8" s="178" t="s">
        <v>95</v>
      </c>
      <c r="D8" s="621">
        <f>'VOT and VOC'!H12</f>
        <v>-4146310.5059999996</v>
      </c>
      <c r="E8" s="621">
        <f>'VOT and VOC'!I12</f>
        <v>-4416735.6089999992</v>
      </c>
      <c r="F8" s="621">
        <f>'VOT and VOC'!J12</f>
        <v>-4687160.7119999994</v>
      </c>
      <c r="G8" s="621">
        <f>'VOT and VOC'!K12</f>
        <v>-4957585.8149999985</v>
      </c>
      <c r="H8" s="621">
        <f>'VOT and VOC'!L12</f>
        <v>-5228010.9179999987</v>
      </c>
      <c r="I8" s="621">
        <f>'VOT and VOC'!M12</f>
        <v>-5498436.0209999988</v>
      </c>
      <c r="J8" s="621">
        <f>'VOT and VOC'!N12</f>
        <v>-5768861.123999998</v>
      </c>
      <c r="K8" s="621">
        <f>'VOT and VOC'!O12</f>
        <v>-6039286.2269999981</v>
      </c>
      <c r="L8" s="621">
        <f>'VOT and VOC'!P12</f>
        <v>-6309711.3299999982</v>
      </c>
      <c r="M8" s="621">
        <f>'VOT and VOC'!Q12</f>
        <v>-6580136.4329999983</v>
      </c>
      <c r="N8" s="621">
        <f>'VOT and VOC'!R12</f>
        <v>-6850561.5359999975</v>
      </c>
      <c r="O8" s="621">
        <f>'VOT and VOC'!S12</f>
        <v>-7120986.6389999967</v>
      </c>
      <c r="P8" s="621">
        <f>'VOT and VOC'!T12</f>
        <v>-7391411.7419999968</v>
      </c>
      <c r="Q8" s="621">
        <f>'VOT and VOC'!U12</f>
        <v>-7661836.8449999969</v>
      </c>
      <c r="R8" s="621">
        <f>'VOT and VOC'!V12</f>
        <v>-7932261.9479999971</v>
      </c>
      <c r="S8" s="621">
        <f>'VOT and VOC'!W12</f>
        <v>-8202687.0509999953</v>
      </c>
      <c r="T8" s="621">
        <f>'VOT and VOC'!X12</f>
        <v>-8473112.1539999954</v>
      </c>
      <c r="U8" s="621">
        <f>'VOT and VOC'!Y12</f>
        <v>-8743537.2569999937</v>
      </c>
      <c r="V8" s="621">
        <f>'VOT and VOC'!Z12</f>
        <v>-9013962.3599999938</v>
      </c>
      <c r="W8" s="621">
        <f>'VOT and VOC'!AA12</f>
        <v>-9284387.4629999921</v>
      </c>
      <c r="X8" s="621">
        <f>'VOT and VOC'!AB12</f>
        <v>-9554812.5659999941</v>
      </c>
    </row>
    <row r="9" spans="2:24" x14ac:dyDescent="0.3">
      <c r="B9" s="194"/>
      <c r="C9" s="178" t="s">
        <v>4</v>
      </c>
      <c r="D9" s="621">
        <f>'VOT and VOC'!H13</f>
        <v>-782826.66088888876</v>
      </c>
      <c r="E9" s="621">
        <f>'VOT and VOC'!I13</f>
        <v>-844175.35799999977</v>
      </c>
      <c r="F9" s="621">
        <f>'VOT and VOC'!J13</f>
        <v>-905524.05511111079</v>
      </c>
      <c r="G9" s="621">
        <f>'VOT and VOC'!K13</f>
        <v>-966872.75222222181</v>
      </c>
      <c r="H9" s="621">
        <f>'VOT and VOC'!L13</f>
        <v>-1028221.4493333328</v>
      </c>
      <c r="I9" s="621">
        <f>'VOT and VOC'!M13</f>
        <v>-1089570.1464444438</v>
      </c>
      <c r="J9" s="621">
        <f>'VOT and VOC'!N13</f>
        <v>-1150918.8435555547</v>
      </c>
      <c r="K9" s="621">
        <f>'VOT and VOC'!O13</f>
        <v>-1212267.5406666659</v>
      </c>
      <c r="L9" s="621">
        <f>'VOT and VOC'!P13</f>
        <v>-1273616.2377777768</v>
      </c>
      <c r="M9" s="621">
        <f>'VOT and VOC'!Q13</f>
        <v>-1334964.9348888879</v>
      </c>
      <c r="N9" s="621">
        <f>'VOT and VOC'!R13</f>
        <v>-1396313.6319999988</v>
      </c>
      <c r="O9" s="621">
        <f>'VOT and VOC'!S13</f>
        <v>-1457662.32911111</v>
      </c>
      <c r="P9" s="621">
        <f>'VOT and VOC'!T13</f>
        <v>-1519011.0262222209</v>
      </c>
      <c r="Q9" s="621">
        <f>'VOT and VOC'!U13</f>
        <v>-1580359.723333332</v>
      </c>
      <c r="R9" s="621">
        <f>'VOT and VOC'!V13</f>
        <v>-1641708.4204444429</v>
      </c>
      <c r="S9" s="621">
        <f>'VOT and VOC'!W13</f>
        <v>-1703057.117555554</v>
      </c>
      <c r="T9" s="621">
        <f>'VOT and VOC'!X13</f>
        <v>-1764405.8146666649</v>
      </c>
      <c r="U9" s="621">
        <f>'VOT and VOC'!Y13</f>
        <v>-1825754.5117777763</v>
      </c>
      <c r="V9" s="621">
        <f>'VOT and VOC'!Z13</f>
        <v>-1887103.2088888872</v>
      </c>
      <c r="W9" s="621">
        <f>'VOT and VOC'!AA13</f>
        <v>-1948451.9059999983</v>
      </c>
      <c r="X9" s="621">
        <f>'VOT and VOC'!AB13</f>
        <v>-2009800.6031111102</v>
      </c>
    </row>
    <row r="10" spans="2:24" x14ac:dyDescent="0.3">
      <c r="B10" s="194"/>
      <c r="C10" s="178" t="s">
        <v>93</v>
      </c>
      <c r="D10" s="621">
        <f>'VOT and VOC'!H14</f>
        <v>-4929137.166888888</v>
      </c>
      <c r="E10" s="621">
        <f>'VOT and VOC'!I14</f>
        <v>-5260910.9669999992</v>
      </c>
      <c r="F10" s="621">
        <f>'VOT and VOC'!J14</f>
        <v>-5592684.7671111105</v>
      </c>
      <c r="G10" s="621">
        <f>'VOT and VOC'!K14</f>
        <v>-5924458.5672222208</v>
      </c>
      <c r="H10" s="621">
        <f>'VOT and VOC'!L14</f>
        <v>-6256232.3673333311</v>
      </c>
      <c r="I10" s="621">
        <f>'VOT and VOC'!M14</f>
        <v>-6588006.1674444424</v>
      </c>
      <c r="J10" s="621">
        <f>'VOT and VOC'!N14</f>
        <v>-6919779.9675555527</v>
      </c>
      <c r="K10" s="621">
        <f>'VOT and VOC'!O14</f>
        <v>-7251553.767666664</v>
      </c>
      <c r="L10" s="621">
        <f>'VOT and VOC'!P14</f>
        <v>-7583327.5677777752</v>
      </c>
      <c r="M10" s="621">
        <f>'VOT and VOC'!Q14</f>
        <v>-7915101.3678888865</v>
      </c>
      <c r="N10" s="621">
        <f>'VOT and VOC'!R14</f>
        <v>-8246875.1679999959</v>
      </c>
      <c r="O10" s="621">
        <f>'VOT and VOC'!S14</f>
        <v>-8578648.9681111071</v>
      </c>
      <c r="P10" s="621">
        <f>'VOT and VOC'!T14</f>
        <v>-8910422.7682222184</v>
      </c>
      <c r="Q10" s="621">
        <f>'VOT and VOC'!U14</f>
        <v>-9242196.5683333296</v>
      </c>
      <c r="R10" s="621">
        <f>'VOT and VOC'!V14</f>
        <v>-9573970.368444439</v>
      </c>
      <c r="S10" s="621">
        <f>'VOT and VOC'!W14</f>
        <v>-9905744.1685555503</v>
      </c>
      <c r="T10" s="621">
        <f>'VOT and VOC'!X14</f>
        <v>-10237517.96866666</v>
      </c>
      <c r="U10" s="621">
        <f>'VOT and VOC'!Y14</f>
        <v>-10569291.768777769</v>
      </c>
      <c r="V10" s="621">
        <f>'VOT and VOC'!Z14</f>
        <v>-10901065.56888888</v>
      </c>
      <c r="W10" s="621">
        <f>'VOT and VOC'!AA14</f>
        <v>-11232839.36899999</v>
      </c>
      <c r="X10" s="621">
        <f>'VOT and VOC'!AB14</f>
        <v>-11564613.169111105</v>
      </c>
    </row>
    <row r="11" spans="2:24" x14ac:dyDescent="0.3">
      <c r="B11" s="199" t="s">
        <v>628</v>
      </c>
      <c r="C11" s="199"/>
      <c r="D11" s="323"/>
      <c r="E11" s="323"/>
      <c r="F11" s="323"/>
      <c r="G11" s="323"/>
      <c r="H11" s="323"/>
      <c r="I11" s="323"/>
      <c r="J11" s="323"/>
      <c r="K11" s="323"/>
      <c r="L11" s="323"/>
      <c r="M11" s="323"/>
      <c r="N11" s="323"/>
      <c r="O11" s="323"/>
      <c r="P11" s="323"/>
      <c r="Q11" s="323"/>
      <c r="R11" s="323"/>
      <c r="S11" s="323"/>
      <c r="T11" s="323"/>
      <c r="U11" s="323"/>
      <c r="V11" s="323"/>
      <c r="W11" s="323"/>
      <c r="X11" s="323"/>
    </row>
    <row r="12" spans="2:24" x14ac:dyDescent="0.3">
      <c r="B12" s="194"/>
      <c r="C12" s="178" t="s">
        <v>95</v>
      </c>
      <c r="D12" s="621">
        <f>'VOT and VOC'!H16</f>
        <v>-410219.70142244</v>
      </c>
      <c r="E12" s="621">
        <f>'VOT and VOC'!I16</f>
        <v>-436974.50062266004</v>
      </c>
      <c r="F12" s="621">
        <f>'VOT and VOC'!J16</f>
        <v>-463729.29982288001</v>
      </c>
      <c r="G12" s="621">
        <f>'VOT and VOC'!K16</f>
        <v>-490484.09902309999</v>
      </c>
      <c r="H12" s="621">
        <f>'VOT and VOC'!L16</f>
        <v>-517238.89822331996</v>
      </c>
      <c r="I12" s="621">
        <f>'VOT and VOC'!M16</f>
        <v>-543993.69742353994</v>
      </c>
      <c r="J12" s="621">
        <f>'VOT and VOC'!N16</f>
        <v>-570748.49662375997</v>
      </c>
      <c r="K12" s="621">
        <f>'VOT and VOC'!O16</f>
        <v>-597503.29582398001</v>
      </c>
      <c r="L12" s="621">
        <f>'VOT and VOC'!P16</f>
        <v>-624258.09502419992</v>
      </c>
      <c r="M12" s="621">
        <f>'VOT and VOC'!Q16</f>
        <v>-651012.89422441996</v>
      </c>
      <c r="N12" s="621">
        <f>'VOT and VOC'!R16</f>
        <v>-677767.69342463987</v>
      </c>
      <c r="O12" s="621">
        <f>'VOT and VOC'!S16</f>
        <v>-704522.49262485991</v>
      </c>
      <c r="P12" s="621">
        <f>'VOT and VOC'!T16</f>
        <v>-731277.29182507994</v>
      </c>
      <c r="Q12" s="621">
        <f>'VOT and VOC'!U16</f>
        <v>-758032.09102529986</v>
      </c>
      <c r="R12" s="621">
        <f>'VOT and VOC'!V16</f>
        <v>-784786.89022551989</v>
      </c>
      <c r="S12" s="621">
        <f>'VOT and VOC'!W16</f>
        <v>-811541.68942573981</v>
      </c>
      <c r="T12" s="621">
        <f>'VOT and VOC'!X16</f>
        <v>-838296.48862595973</v>
      </c>
      <c r="U12" s="621">
        <f>'VOT and VOC'!Y16</f>
        <v>-865051.28782617953</v>
      </c>
      <c r="V12" s="621">
        <f>'VOT and VOC'!Z16</f>
        <v>-891806.08702639944</v>
      </c>
      <c r="W12" s="621">
        <f>'VOT and VOC'!AA16</f>
        <v>-918560.88622661936</v>
      </c>
      <c r="X12" s="621">
        <f>'VOT and VOC'!AB16</f>
        <v>-945315.68542683963</v>
      </c>
    </row>
    <row r="13" spans="2:24" x14ac:dyDescent="0.3">
      <c r="B13" s="194"/>
      <c r="C13" s="178" t="s">
        <v>4</v>
      </c>
      <c r="D13" s="621">
        <f>'VOT and VOC'!H17</f>
        <v>-535426.10792173422</v>
      </c>
      <c r="E13" s="621">
        <f>'VOT and VOC'!I17</f>
        <v>-577386.47509034013</v>
      </c>
      <c r="F13" s="621">
        <f>'VOT and VOC'!J17</f>
        <v>-619346.84225894604</v>
      </c>
      <c r="G13" s="621">
        <f>'VOT and VOC'!K17</f>
        <v>-661307.20942755195</v>
      </c>
      <c r="H13" s="621">
        <f>'VOT and VOC'!L17</f>
        <v>-703267.57659615786</v>
      </c>
      <c r="I13" s="621">
        <f>'VOT and VOC'!M17</f>
        <v>-745227.94376476377</v>
      </c>
      <c r="J13" s="621">
        <f>'VOT and VOC'!N17</f>
        <v>-787188.31093336968</v>
      </c>
      <c r="K13" s="621">
        <f>'VOT and VOC'!O17</f>
        <v>-829148.67810197559</v>
      </c>
      <c r="L13" s="621">
        <f>'VOT and VOC'!P17</f>
        <v>-871109.0452705815</v>
      </c>
      <c r="M13" s="621">
        <f>'VOT and VOC'!Q17</f>
        <v>-913069.41243918741</v>
      </c>
      <c r="N13" s="621">
        <f>'VOT and VOC'!R17</f>
        <v>-955029.77960779332</v>
      </c>
      <c r="O13" s="621">
        <f>'VOT and VOC'!S17</f>
        <v>-996990.14677639923</v>
      </c>
      <c r="P13" s="621">
        <f>'VOT and VOC'!T17</f>
        <v>-1038950.5139450051</v>
      </c>
      <c r="Q13" s="621">
        <f>'VOT and VOC'!U17</f>
        <v>-1080910.8811136109</v>
      </c>
      <c r="R13" s="621">
        <f>'VOT and VOC'!V17</f>
        <v>-1122871.248282217</v>
      </c>
      <c r="S13" s="621">
        <f>'VOT and VOC'!W17</f>
        <v>-1164831.6154508227</v>
      </c>
      <c r="T13" s="621">
        <f>'VOT and VOC'!X17</f>
        <v>-1206791.9826194288</v>
      </c>
      <c r="U13" s="621">
        <f>'VOT and VOC'!Y17</f>
        <v>-1248752.3497880348</v>
      </c>
      <c r="V13" s="621">
        <f>'VOT and VOC'!Z17</f>
        <v>-1290712.7169566406</v>
      </c>
      <c r="W13" s="621">
        <f>'VOT and VOC'!AA17</f>
        <v>-1332673.0841252466</v>
      </c>
      <c r="X13" s="621">
        <f>'VOT and VOC'!AB17</f>
        <v>-1374633.4512938529</v>
      </c>
    </row>
    <row r="14" spans="2:24" x14ac:dyDescent="0.3">
      <c r="B14" s="194"/>
      <c r="C14" s="178" t="s">
        <v>93</v>
      </c>
      <c r="D14" s="621">
        <f>'VOT and VOC'!H18</f>
        <v>-945645.80934417422</v>
      </c>
      <c r="E14" s="621">
        <f>'VOT and VOC'!I18</f>
        <v>-1014360.9757130002</v>
      </c>
      <c r="F14" s="621">
        <f>'VOT and VOC'!J18</f>
        <v>-1083076.142081826</v>
      </c>
      <c r="G14" s="621">
        <f>'VOT and VOC'!K18</f>
        <v>-1151791.3084506518</v>
      </c>
      <c r="H14" s="621">
        <f>'VOT and VOC'!L18</f>
        <v>-1220506.4748194779</v>
      </c>
      <c r="I14" s="621">
        <f>'VOT and VOC'!M18</f>
        <v>-1289221.6411883037</v>
      </c>
      <c r="J14" s="621">
        <f>'VOT and VOC'!N18</f>
        <v>-1357936.8075571298</v>
      </c>
      <c r="K14" s="621">
        <f>'VOT and VOC'!O18</f>
        <v>-1426651.9739259556</v>
      </c>
      <c r="L14" s="621">
        <f>'VOT and VOC'!P18</f>
        <v>-1495367.1402947814</v>
      </c>
      <c r="M14" s="621">
        <f>'VOT and VOC'!Q18</f>
        <v>-1564082.3066636072</v>
      </c>
      <c r="N14" s="621">
        <f>'VOT and VOC'!R18</f>
        <v>-1632797.4730324331</v>
      </c>
      <c r="O14" s="621">
        <f>'VOT and VOC'!S18</f>
        <v>-1701512.6394012591</v>
      </c>
      <c r="P14" s="621">
        <f>'VOT and VOC'!T18</f>
        <v>-1770227.8057700852</v>
      </c>
      <c r="Q14" s="621">
        <f>'VOT and VOC'!U18</f>
        <v>-1838942.9721389108</v>
      </c>
      <c r="R14" s="621">
        <f>'VOT and VOC'!V18</f>
        <v>-1907658.1385077368</v>
      </c>
      <c r="S14" s="621">
        <f>'VOT and VOC'!W18</f>
        <v>-1976373.3048765627</v>
      </c>
      <c r="T14" s="621">
        <f>'VOT and VOC'!X18</f>
        <v>-2045088.4712453885</v>
      </c>
      <c r="U14" s="621">
        <f>'VOT and VOC'!Y18</f>
        <v>-2113803.6376142143</v>
      </c>
      <c r="V14" s="621">
        <f>'VOT and VOC'!Z18</f>
        <v>-2182518.8039830402</v>
      </c>
      <c r="W14" s="621">
        <f>'VOT and VOC'!AA18</f>
        <v>-2251233.970351866</v>
      </c>
      <c r="X14" s="621">
        <f>'VOT and VOC'!AB18</f>
        <v>-2319949.1367206927</v>
      </c>
    </row>
    <row r="15" spans="2:24" x14ac:dyDescent="0.3">
      <c r="B15" s="199" t="s">
        <v>627</v>
      </c>
      <c r="C15" s="199"/>
      <c r="D15" s="323"/>
      <c r="E15" s="323"/>
      <c r="F15" s="323"/>
      <c r="G15" s="323"/>
      <c r="H15" s="323"/>
      <c r="I15" s="323"/>
      <c r="J15" s="323"/>
      <c r="K15" s="323"/>
      <c r="L15" s="323"/>
      <c r="M15" s="323"/>
      <c r="N15" s="323"/>
      <c r="O15" s="323"/>
      <c r="P15" s="323"/>
      <c r="Q15" s="323"/>
      <c r="R15" s="323"/>
      <c r="S15" s="323"/>
      <c r="T15" s="323"/>
      <c r="U15" s="323"/>
      <c r="V15" s="323"/>
      <c r="W15" s="323"/>
      <c r="X15" s="323"/>
    </row>
    <row r="16" spans="2:24" x14ac:dyDescent="0.3">
      <c r="B16" s="194"/>
      <c r="C16" s="178" t="s">
        <v>95</v>
      </c>
      <c r="D16" s="621">
        <f>'VOT and VOC'!H20</f>
        <v>-732996.89798940672</v>
      </c>
      <c r="E16" s="621">
        <f>'VOT and VOC'!I20</f>
        <v>-780803.43861163605</v>
      </c>
      <c r="F16" s="621">
        <f>'VOT and VOC'!J20</f>
        <v>-828609.97923386563</v>
      </c>
      <c r="G16" s="621">
        <f>'VOT and VOC'!K20</f>
        <v>-876416.51985609508</v>
      </c>
      <c r="H16" s="621">
        <f>'VOT and VOC'!L20</f>
        <v>-924223.06047832454</v>
      </c>
      <c r="I16" s="621">
        <f>'VOT and VOC'!M20</f>
        <v>-972029.60110055387</v>
      </c>
      <c r="J16" s="621">
        <f>'VOT and VOC'!N20</f>
        <v>-1019836.1417227833</v>
      </c>
      <c r="K16" s="621">
        <f>'VOT and VOC'!O20</f>
        <v>-1067642.6823450127</v>
      </c>
      <c r="L16" s="621">
        <f>'VOT and VOC'!P20</f>
        <v>-1115449.2229672424</v>
      </c>
      <c r="M16" s="621">
        <f>'VOT and VOC'!Q20</f>
        <v>-1163255.7635894718</v>
      </c>
      <c r="N16" s="621">
        <f>'VOT and VOC'!R20</f>
        <v>-1211062.304211701</v>
      </c>
      <c r="O16" s="621">
        <f>'VOT and VOC'!S20</f>
        <v>-1258868.8448339307</v>
      </c>
      <c r="P16" s="621">
        <f>'VOT and VOC'!T20</f>
        <v>-1306675.3854561599</v>
      </c>
      <c r="Q16" s="621">
        <f>'VOT and VOC'!U20</f>
        <v>-1354481.9260783896</v>
      </c>
      <c r="R16" s="621">
        <f>'VOT and VOC'!V20</f>
        <v>-1402288.4667006189</v>
      </c>
      <c r="S16" s="621">
        <f>'VOT and VOC'!W20</f>
        <v>-1450095.0073228481</v>
      </c>
      <c r="T16" s="621">
        <f>'VOT and VOC'!X20</f>
        <v>-1497901.5479450773</v>
      </c>
      <c r="U16" s="621">
        <f>'VOT and VOC'!Y20</f>
        <v>-1545708.0885673065</v>
      </c>
      <c r="V16" s="621">
        <f>'VOT and VOC'!Z20</f>
        <v>-1593514.629189536</v>
      </c>
      <c r="W16" s="621">
        <f>'VOT and VOC'!AA20</f>
        <v>-1641321.1698117652</v>
      </c>
      <c r="X16" s="621">
        <f>'VOT and VOC'!AB20</f>
        <v>-1689127.7104339954</v>
      </c>
    </row>
    <row r="17" spans="2:24" x14ac:dyDescent="0.3">
      <c r="B17" s="194"/>
      <c r="C17" s="178" t="s">
        <v>4</v>
      </c>
      <c r="D17" s="621">
        <f>'VOT and VOC'!H21</f>
        <v>-568393.55397481471</v>
      </c>
      <c r="E17" s="621">
        <f>'VOT and VOC'!I21</f>
        <v>-612937.51973999979</v>
      </c>
      <c r="F17" s="621">
        <f>'VOT and VOC'!J21</f>
        <v>-657481.48550518497</v>
      </c>
      <c r="G17" s="621">
        <f>'VOT and VOC'!K21</f>
        <v>-702025.45127037005</v>
      </c>
      <c r="H17" s="621">
        <f>'VOT and VOC'!L21</f>
        <v>-746569.41703555512</v>
      </c>
      <c r="I17" s="621">
        <f>'VOT and VOC'!M21</f>
        <v>-791113.38280074031</v>
      </c>
      <c r="J17" s="621">
        <f>'VOT and VOC'!N21</f>
        <v>-835657.34856592538</v>
      </c>
      <c r="K17" s="621">
        <f>'VOT and VOC'!O21</f>
        <v>-880201.31433111045</v>
      </c>
      <c r="L17" s="621">
        <f>'VOT and VOC'!P21</f>
        <v>-924745.28009629564</v>
      </c>
      <c r="M17" s="621">
        <f>'VOT and VOC'!Q21</f>
        <v>-969289.24586148071</v>
      </c>
      <c r="N17" s="621">
        <f>'VOT and VOC'!R21</f>
        <v>-1013833.2116266658</v>
      </c>
      <c r="O17" s="621">
        <f>'VOT and VOC'!S21</f>
        <v>-1058377.1773918509</v>
      </c>
      <c r="P17" s="621">
        <f>'VOT and VOC'!T21</f>
        <v>-1102921.143157036</v>
      </c>
      <c r="Q17" s="621">
        <f>'VOT and VOC'!U21</f>
        <v>-1147465.1089222212</v>
      </c>
      <c r="R17" s="621">
        <f>'VOT and VOC'!V21</f>
        <v>-1192009.0746874064</v>
      </c>
      <c r="S17" s="621">
        <f>'VOT and VOC'!W21</f>
        <v>-1236553.0404525914</v>
      </c>
      <c r="T17" s="621">
        <f>'VOT and VOC'!X21</f>
        <v>-1281097.0062177766</v>
      </c>
      <c r="U17" s="621">
        <f>'VOT and VOC'!Y21</f>
        <v>-1325640.9719829618</v>
      </c>
      <c r="V17" s="621">
        <f>'VOT and VOC'!Z21</f>
        <v>-1370184.9377481469</v>
      </c>
      <c r="W17" s="621">
        <f>'VOT and VOC'!AA21</f>
        <v>-1414728.9035133319</v>
      </c>
      <c r="X17" s="621">
        <f>'VOT and VOC'!AB21</f>
        <v>-1459272.8692785178</v>
      </c>
    </row>
    <row r="18" spans="2:24" x14ac:dyDescent="0.3">
      <c r="B18" s="194"/>
      <c r="C18" s="178" t="s">
        <v>93</v>
      </c>
      <c r="D18" s="621">
        <f>'VOT and VOC'!H22</f>
        <v>-1301390.4519642214</v>
      </c>
      <c r="E18" s="621">
        <f>'VOT and VOC'!I22</f>
        <v>-1393740.9583516358</v>
      </c>
      <c r="F18" s="621">
        <f>'VOT and VOC'!J22</f>
        <v>-1486091.4647390507</v>
      </c>
      <c r="G18" s="621">
        <f>'VOT and VOC'!K22</f>
        <v>-1578441.9711264651</v>
      </c>
      <c r="H18" s="621">
        <f>'VOT and VOC'!L22</f>
        <v>-1670792.4775138795</v>
      </c>
      <c r="I18" s="621">
        <f>'VOT and VOC'!M22</f>
        <v>-1763142.9839012942</v>
      </c>
      <c r="J18" s="621">
        <f>'VOT and VOC'!N22</f>
        <v>-1855493.4902887088</v>
      </c>
      <c r="K18" s="621">
        <f>'VOT and VOC'!O22</f>
        <v>-1947843.9966761232</v>
      </c>
      <c r="L18" s="621">
        <f>'VOT and VOC'!P22</f>
        <v>-2040194.5030635381</v>
      </c>
      <c r="M18" s="621">
        <f>'VOT and VOC'!Q22</f>
        <v>-2132545.0094509525</v>
      </c>
      <c r="N18" s="621">
        <f>'VOT and VOC'!R22</f>
        <v>-2224895.5158383669</v>
      </c>
      <c r="O18" s="621">
        <f>'VOT and VOC'!S22</f>
        <v>-2317246.0222257813</v>
      </c>
      <c r="P18" s="621">
        <f>'VOT and VOC'!T22</f>
        <v>-2409596.5286131958</v>
      </c>
      <c r="Q18" s="621">
        <f>'VOT and VOC'!U22</f>
        <v>-2501947.0350006111</v>
      </c>
      <c r="R18" s="621">
        <f>'VOT and VOC'!V22</f>
        <v>-2594297.5413880255</v>
      </c>
      <c r="S18" s="621">
        <f>'VOT and VOC'!W22</f>
        <v>-2686648.0477754395</v>
      </c>
      <c r="T18" s="621">
        <f>'VOT and VOC'!X22</f>
        <v>-2778998.5541628539</v>
      </c>
      <c r="U18" s="621">
        <f>'VOT and VOC'!Y22</f>
        <v>-2871349.0605502683</v>
      </c>
      <c r="V18" s="621">
        <f>'VOT and VOC'!Z22</f>
        <v>-2963699.5669376832</v>
      </c>
      <c r="W18" s="621">
        <f>'VOT and VOC'!AA22</f>
        <v>-3056050.0733250971</v>
      </c>
      <c r="X18" s="621">
        <f>'VOT and VOC'!AB22</f>
        <v>-3148400.5797125129</v>
      </c>
    </row>
    <row r="19" spans="2:24" x14ac:dyDescent="0.3">
      <c r="B19" s="199" t="s">
        <v>626</v>
      </c>
      <c r="C19" s="199"/>
      <c r="D19" s="323"/>
      <c r="E19" s="323"/>
      <c r="F19" s="323"/>
      <c r="G19" s="323"/>
      <c r="H19" s="323"/>
      <c r="I19" s="323"/>
      <c r="J19" s="323"/>
      <c r="K19" s="323"/>
      <c r="L19" s="323"/>
      <c r="M19" s="323"/>
      <c r="N19" s="323"/>
      <c r="O19" s="323"/>
      <c r="P19" s="323"/>
      <c r="Q19" s="323"/>
      <c r="R19" s="323"/>
      <c r="S19" s="323"/>
      <c r="T19" s="323"/>
      <c r="U19" s="323"/>
      <c r="V19" s="323"/>
      <c r="W19" s="323"/>
      <c r="X19" s="323"/>
    </row>
    <row r="20" spans="2:24" x14ac:dyDescent="0.3">
      <c r="B20" s="194"/>
      <c r="C20" s="178" t="s">
        <v>95</v>
      </c>
      <c r="D20" s="621">
        <f>'Crash Costs'!J34</f>
        <v>-2324653.1743968017</v>
      </c>
      <c r="E20" s="621">
        <f>'Crash Costs'!K34</f>
        <v>-2424099.3725020811</v>
      </c>
      <c r="F20" s="621">
        <f>'Crash Costs'!L34</f>
        <v>-2523545.5706073605</v>
      </c>
      <c r="G20" s="621">
        <f>'Crash Costs'!M34</f>
        <v>-2622991.7687126398</v>
      </c>
      <c r="H20" s="621">
        <f>'Crash Costs'!N34</f>
        <v>-2722437.9668179248</v>
      </c>
      <c r="I20" s="621">
        <f>'Crash Costs'!O34</f>
        <v>-2821884.1649232004</v>
      </c>
      <c r="J20" s="621">
        <f>'Crash Costs'!P34</f>
        <v>-2921330.3630284797</v>
      </c>
      <c r="K20" s="621">
        <f>'Crash Costs'!Q34</f>
        <v>-3020776.5611337572</v>
      </c>
      <c r="L20" s="621">
        <f>'Crash Costs'!R34</f>
        <v>-3120222.7592390366</v>
      </c>
      <c r="M20" s="621">
        <f>'Crash Costs'!S34</f>
        <v>-3219668.9573443197</v>
      </c>
      <c r="N20" s="621">
        <f>'Crash Costs'!T34</f>
        <v>-3319115.1554496028</v>
      </c>
      <c r="O20" s="621">
        <f>'Crash Costs'!U34</f>
        <v>-3418561.3535548821</v>
      </c>
      <c r="P20" s="621">
        <f>'Crash Costs'!V34</f>
        <v>-3518007.5516601615</v>
      </c>
      <c r="Q20" s="621">
        <f>'Crash Costs'!W34</f>
        <v>-3617453.7497654408</v>
      </c>
      <c r="R20" s="621">
        <f>'Crash Costs'!X34</f>
        <v>-3716899.9478707202</v>
      </c>
      <c r="S20" s="621">
        <f>'Crash Costs'!Y34</f>
        <v>-3816346.1459760033</v>
      </c>
      <c r="T20" s="621">
        <f>'Crash Costs'!Z34</f>
        <v>-3915792.3440812789</v>
      </c>
      <c r="U20" s="621">
        <f>'Crash Costs'!AA34</f>
        <v>-4015238.5421865657</v>
      </c>
      <c r="V20" s="621">
        <f>'Crash Costs'!AB34</f>
        <v>-4114684.7402918451</v>
      </c>
      <c r="W20" s="621">
        <f>'Crash Costs'!AC34</f>
        <v>-4214130.9383971207</v>
      </c>
      <c r="X20" s="621">
        <f>'Crash Costs'!AD34</f>
        <v>-4313577.1365024038</v>
      </c>
    </row>
    <row r="21" spans="2:24" x14ac:dyDescent="0.3">
      <c r="B21" s="194"/>
      <c r="C21" s="178" t="s">
        <v>4</v>
      </c>
      <c r="D21" s="621">
        <f>'Crash Costs'!J35</f>
        <v>-668415.53373120073</v>
      </c>
      <c r="E21" s="621">
        <f>'Crash Costs'!K35</f>
        <v>-697009.84802562045</v>
      </c>
      <c r="F21" s="621">
        <f>'Crash Costs'!L35</f>
        <v>-725604.1623200397</v>
      </c>
      <c r="G21" s="621">
        <f>'Crash Costs'!M35</f>
        <v>-754198.47661446035</v>
      </c>
      <c r="H21" s="621">
        <f>'Crash Costs'!N35</f>
        <v>-782792.79090888053</v>
      </c>
      <c r="I21" s="621">
        <f>'Crash Costs'!O35</f>
        <v>-811387.10520330071</v>
      </c>
      <c r="J21" s="621">
        <f>'Crash Costs'!P35</f>
        <v>-839981.41949771903</v>
      </c>
      <c r="K21" s="621">
        <f>'Crash Costs'!Q35</f>
        <v>-868575.73379213922</v>
      </c>
      <c r="L21" s="621">
        <f>'Crash Costs'!R35</f>
        <v>-897170.04808656033</v>
      </c>
      <c r="M21" s="621">
        <f>'Crash Costs'!S35</f>
        <v>-925764.36238097958</v>
      </c>
      <c r="N21" s="621">
        <f>'Crash Costs'!T35</f>
        <v>-954358.6766754007</v>
      </c>
      <c r="O21" s="621">
        <f>'Crash Costs'!U35</f>
        <v>-982952.99096982088</v>
      </c>
      <c r="P21" s="621">
        <f>'Crash Costs'!V35</f>
        <v>-1011547.3052642401</v>
      </c>
      <c r="Q21" s="621">
        <f>'Crash Costs'!W35</f>
        <v>-1040141.6195586603</v>
      </c>
      <c r="R21" s="621">
        <f>'Crash Costs'!X35</f>
        <v>-1068735.9338530805</v>
      </c>
      <c r="S21" s="621">
        <f>'Crash Costs'!Y35</f>
        <v>-1097330.2481474997</v>
      </c>
      <c r="T21" s="621">
        <f>'Crash Costs'!Z35</f>
        <v>-1125924.5624419209</v>
      </c>
      <c r="U21" s="621">
        <f>'Crash Costs'!AA35</f>
        <v>-1154518.876736341</v>
      </c>
      <c r="V21" s="621">
        <f>'Crash Costs'!AB35</f>
        <v>-1183113.1910307612</v>
      </c>
      <c r="W21" s="621">
        <f>'Crash Costs'!AC35</f>
        <v>-1211707.5053251805</v>
      </c>
      <c r="X21" s="621">
        <f>'Crash Costs'!AD35</f>
        <v>-1240301.8196196007</v>
      </c>
    </row>
    <row r="22" spans="2:24" x14ac:dyDescent="0.3">
      <c r="B22" s="194"/>
      <c r="C22" s="178" t="s">
        <v>93</v>
      </c>
      <c r="D22" s="621">
        <f>'Crash Costs'!J36</f>
        <v>-2993068.7081280053</v>
      </c>
      <c r="E22" s="621">
        <f>'Crash Costs'!K36</f>
        <v>-3121109.2205277011</v>
      </c>
      <c r="F22" s="621">
        <f>'Crash Costs'!L36</f>
        <v>-3249149.7329274006</v>
      </c>
      <c r="G22" s="621">
        <f>'Crash Costs'!M36</f>
        <v>-3377190.2453271002</v>
      </c>
      <c r="H22" s="621">
        <f>'Crash Costs'!N36</f>
        <v>-3505230.7577268071</v>
      </c>
      <c r="I22" s="621">
        <f>'Crash Costs'!O36</f>
        <v>-3633271.270126503</v>
      </c>
      <c r="J22" s="621">
        <f>'Crash Costs'!P36</f>
        <v>-3761311.7825261988</v>
      </c>
      <c r="K22" s="621">
        <f>'Crash Costs'!Q36</f>
        <v>-3889352.2949258946</v>
      </c>
      <c r="L22" s="621">
        <f>'Crash Costs'!R36</f>
        <v>-4017392.8073255979</v>
      </c>
      <c r="M22" s="621">
        <f>'Crash Costs'!S36</f>
        <v>-4145433.3197253011</v>
      </c>
      <c r="N22" s="621">
        <f>'Crash Costs'!T36</f>
        <v>-4273473.8321250044</v>
      </c>
      <c r="O22" s="621">
        <f>'Crash Costs'!U36</f>
        <v>-4401514.3445247002</v>
      </c>
      <c r="P22" s="621">
        <f>'Crash Costs'!V36</f>
        <v>-4529554.8569243997</v>
      </c>
      <c r="Q22" s="621">
        <f>'Crash Costs'!W36</f>
        <v>-4657595.369324103</v>
      </c>
      <c r="R22" s="621">
        <f>'Crash Costs'!X36</f>
        <v>-4785635.8817237988</v>
      </c>
      <c r="S22" s="621">
        <f>'Crash Costs'!Y36</f>
        <v>-4913676.3941235021</v>
      </c>
      <c r="T22" s="621">
        <f>'Crash Costs'!Z36</f>
        <v>-5041716.9065231979</v>
      </c>
      <c r="U22" s="621">
        <f>'Crash Costs'!AA36</f>
        <v>-5169757.4189229049</v>
      </c>
      <c r="V22" s="621">
        <f>'Crash Costs'!AB36</f>
        <v>-5297797.9313226119</v>
      </c>
      <c r="W22" s="621">
        <f>'Crash Costs'!AC36</f>
        <v>-5425838.443722304</v>
      </c>
      <c r="X22" s="621">
        <f>'Crash Costs'!AD36</f>
        <v>-5553878.9561220035</v>
      </c>
    </row>
    <row r="23" spans="2:24" x14ac:dyDescent="0.3">
      <c r="B23" s="199" t="s">
        <v>630</v>
      </c>
      <c r="C23" s="199"/>
      <c r="D23" s="323"/>
      <c r="E23" s="323"/>
      <c r="F23" s="323"/>
      <c r="G23" s="323"/>
      <c r="H23" s="323"/>
      <c r="I23" s="323"/>
      <c r="J23" s="323"/>
      <c r="K23" s="323"/>
      <c r="L23" s="323"/>
      <c r="M23" s="323"/>
      <c r="N23" s="323"/>
      <c r="O23" s="323"/>
      <c r="P23" s="323"/>
      <c r="Q23" s="323"/>
      <c r="R23" s="323"/>
      <c r="S23" s="323"/>
      <c r="T23" s="323"/>
      <c r="U23" s="323"/>
      <c r="V23" s="323"/>
      <c r="W23" s="323"/>
      <c r="X23" s="323"/>
    </row>
    <row r="24" spans="2:24" x14ac:dyDescent="0.3">
      <c r="B24" s="194"/>
      <c r="C24" s="178" t="s">
        <v>95</v>
      </c>
      <c r="D24" s="621">
        <f>'Emissions Costs'!H32</f>
        <v>-229898.44965860719</v>
      </c>
      <c r="E24" s="621">
        <f>'Emissions Costs'!I32</f>
        <v>-244892.57801404619</v>
      </c>
      <c r="F24" s="621">
        <f>'Emissions Costs'!J32</f>
        <v>-263149.01387996529</v>
      </c>
      <c r="G24" s="621">
        <f>'Emissions Costs'!K32</f>
        <v>-285232.41242742422</v>
      </c>
      <c r="H24" s="621">
        <f>'Emissions Costs'!L32</f>
        <v>-304429.94024510926</v>
      </c>
      <c r="I24" s="621">
        <f>'Emissions Costs'!M32</f>
        <v>-324003.9048435007</v>
      </c>
      <c r="J24" s="621">
        <f>'Emissions Costs'!N32</f>
        <v>-343954.30622259842</v>
      </c>
      <c r="K24" s="621">
        <f>'Emissions Costs'!O32</f>
        <v>-364281.14438240253</v>
      </c>
      <c r="L24" s="621">
        <f>'Emissions Costs'!P32</f>
        <v>-384984.41932291299</v>
      </c>
      <c r="M24" s="621">
        <f>'Emissions Costs'!Q32</f>
        <v>-401484.29480117734</v>
      </c>
      <c r="N24" s="621">
        <f>'Emissions Costs'!R32</f>
        <v>-422752.22491274739</v>
      </c>
      <c r="O24" s="621">
        <f>'Emissions Costs'!S32</f>
        <v>-449352.86482868239</v>
      </c>
      <c r="P24" s="621">
        <f>'Emissions Costs'!T32</f>
        <v>-471561.88689201826</v>
      </c>
      <c r="Q24" s="621">
        <f>'Emissions Costs'!U32</f>
        <v>-494147.34573606052</v>
      </c>
      <c r="R24" s="621">
        <f>'Emissions Costs'!V32</f>
        <v>-517109.24136080901</v>
      </c>
      <c r="S24" s="621">
        <f>'Emissions Costs'!W32</f>
        <v>-540447.5737662639</v>
      </c>
      <c r="T24" s="621">
        <f>'Emissions Costs'!X32</f>
        <v>-564162.34295242501</v>
      </c>
      <c r="U24" s="621">
        <f>'Emissions Costs'!Y32</f>
        <v>-588253.54891929263</v>
      </c>
      <c r="V24" s="621">
        <f>'Emissions Costs'!Z32</f>
        <v>-612721.19166686654</v>
      </c>
      <c r="W24" s="621">
        <f>'Emissions Costs'!AA32</f>
        <v>-644027.29134163086</v>
      </c>
      <c r="X24" s="621">
        <f>'Emissions Costs'!AB32</f>
        <v>-669436.02604097081</v>
      </c>
    </row>
    <row r="25" spans="2:24" x14ac:dyDescent="0.3">
      <c r="B25" s="194"/>
      <c r="C25" s="178" t="s">
        <v>4</v>
      </c>
      <c r="D25" s="621">
        <f>'Emissions Costs'!H33</f>
        <v>-429243.93883097405</v>
      </c>
      <c r="E25" s="621">
        <f>'Emissions Costs'!I33</f>
        <v>-462883.0031421209</v>
      </c>
      <c r="F25" s="621">
        <f>'Emissions Costs'!J33</f>
        <v>-499120.34444179368</v>
      </c>
      <c r="G25" s="621">
        <f>'Emissions Costs'!K33</f>
        <v>-538484.05772784515</v>
      </c>
      <c r="H25" s="621">
        <f>'Emissions Costs'!L33</f>
        <v>-575601.5573572726</v>
      </c>
      <c r="I25" s="621">
        <f>'Emissions Costs'!M33</f>
        <v>-613071.12031860196</v>
      </c>
      <c r="J25" s="621">
        <f>'Emissions Costs'!N33</f>
        <v>-650892.74661183299</v>
      </c>
      <c r="K25" s="621">
        <f>'Emissions Costs'!O33</f>
        <v>-689066.43623696594</v>
      </c>
      <c r="L25" s="621">
        <f>'Emissions Costs'!P33</f>
        <v>-727592.18919400079</v>
      </c>
      <c r="M25" s="621">
        <f>'Emissions Costs'!Q33</f>
        <v>-762639.50683275505</v>
      </c>
      <c r="N25" s="621">
        <f>'Emissions Costs'!R33</f>
        <v>-801693.35478764272</v>
      </c>
      <c r="O25" s="621">
        <f>'Emissions Costs'!S33</f>
        <v>-845281.82805651636</v>
      </c>
      <c r="P25" s="621">
        <f>'Emissions Costs'!T33</f>
        <v>-885215.83434115874</v>
      </c>
      <c r="Q25" s="621">
        <f>'Emissions Costs'!U33</f>
        <v>-925501.90395770257</v>
      </c>
      <c r="R25" s="621">
        <f>'Emissions Costs'!V33</f>
        <v>-966140.03690614854</v>
      </c>
      <c r="S25" s="621">
        <f>'Emissions Costs'!W33</f>
        <v>-1007130.2331864963</v>
      </c>
      <c r="T25" s="621">
        <f>'Emissions Costs'!X33</f>
        <v>-1048472.4927987461</v>
      </c>
      <c r="U25" s="621">
        <f>'Emissions Costs'!Y33</f>
        <v>-1090166.8157428976</v>
      </c>
      <c r="V25" s="621">
        <f>'Emissions Costs'!Z33</f>
        <v>-1132213.2020189511</v>
      </c>
      <c r="W25" s="621">
        <f>'Emissions Costs'!AA33</f>
        <v>-1180202.4669365978</v>
      </c>
      <c r="X25" s="621">
        <f>'Emissions Costs'!AB33</f>
        <v>-1223129.0115424062</v>
      </c>
    </row>
    <row r="26" spans="2:24" x14ac:dyDescent="0.3">
      <c r="B26" s="194"/>
      <c r="C26" s="178" t="s">
        <v>93</v>
      </c>
      <c r="D26" s="621">
        <f>'Emissions Costs'!H34</f>
        <v>-659142.38848958118</v>
      </c>
      <c r="E26" s="621">
        <f>'Emissions Costs'!I34</f>
        <v>-707775.5811561672</v>
      </c>
      <c r="F26" s="621">
        <f>'Emissions Costs'!J34</f>
        <v>-762269.35832175903</v>
      </c>
      <c r="G26" s="621">
        <f>'Emissions Costs'!K34</f>
        <v>-823716.47015526949</v>
      </c>
      <c r="H26" s="621">
        <f>'Emissions Costs'!L34</f>
        <v>-880031.49760238174</v>
      </c>
      <c r="I26" s="621">
        <f>'Emissions Costs'!M34</f>
        <v>-937075.02516210242</v>
      </c>
      <c r="J26" s="621">
        <f>'Emissions Costs'!N34</f>
        <v>-994847.05283443141</v>
      </c>
      <c r="K26" s="621">
        <f>'Emissions Costs'!O34</f>
        <v>-1053347.5806193685</v>
      </c>
      <c r="L26" s="621">
        <f>'Emissions Costs'!P34</f>
        <v>-1112576.6085169136</v>
      </c>
      <c r="M26" s="621">
        <f>'Emissions Costs'!Q34</f>
        <v>-1164123.8016339324</v>
      </c>
      <c r="N26" s="621">
        <f>'Emissions Costs'!R34</f>
        <v>-1224445.5797003901</v>
      </c>
      <c r="O26" s="621">
        <f>'Emissions Costs'!S34</f>
        <v>-1294634.6928851989</v>
      </c>
      <c r="P26" s="621">
        <f>'Emissions Costs'!T34</f>
        <v>-1356777.721233177</v>
      </c>
      <c r="Q26" s="621">
        <f>'Emissions Costs'!U34</f>
        <v>-1419649.249693763</v>
      </c>
      <c r="R26" s="621">
        <f>'Emissions Costs'!V34</f>
        <v>-1483249.2782669575</v>
      </c>
      <c r="S26" s="621">
        <f>'Emissions Costs'!W34</f>
        <v>-1547577.8069527603</v>
      </c>
      <c r="T26" s="621">
        <f>'Emissions Costs'!X34</f>
        <v>-1612634.8357511712</v>
      </c>
      <c r="U26" s="621">
        <f>'Emissions Costs'!Y34</f>
        <v>-1678420.3646621904</v>
      </c>
      <c r="V26" s="621">
        <f>'Emissions Costs'!Z34</f>
        <v>-1744934.3936858175</v>
      </c>
      <c r="W26" s="621">
        <f>'Emissions Costs'!AA34</f>
        <v>-1824229.7582782286</v>
      </c>
      <c r="X26" s="621">
        <f>'Emissions Costs'!AB34</f>
        <v>-1892565.037583377</v>
      </c>
    </row>
    <row r="27" spans="2:24" x14ac:dyDescent="0.3">
      <c r="B27" s="199" t="s">
        <v>671</v>
      </c>
      <c r="C27" s="199"/>
      <c r="D27" s="323"/>
      <c r="E27" s="323"/>
      <c r="F27" s="323"/>
      <c r="G27" s="323"/>
      <c r="H27" s="323"/>
      <c r="I27" s="323"/>
      <c r="J27" s="323"/>
      <c r="K27" s="323"/>
      <c r="L27" s="323"/>
      <c r="M27" s="323"/>
      <c r="N27" s="323"/>
      <c r="O27" s="323"/>
      <c r="P27" s="323"/>
      <c r="Q27" s="323"/>
      <c r="R27" s="323"/>
      <c r="S27" s="323"/>
      <c r="T27" s="323"/>
      <c r="U27" s="323"/>
      <c r="V27" s="323"/>
      <c r="W27" s="323"/>
      <c r="X27" s="323"/>
    </row>
    <row r="28" spans="2:24" x14ac:dyDescent="0.3">
      <c r="B28" s="194"/>
      <c r="C28" s="178" t="s">
        <v>95</v>
      </c>
      <c r="D28" s="621">
        <f>D8+D12+D16+D20+D24</f>
        <v>-7844078.7294672551</v>
      </c>
      <c r="E28" s="621">
        <f t="shared" ref="E28:X30" si="0">E8+E12+E16+E20+E24</f>
        <v>-8303505.4987504221</v>
      </c>
      <c r="F28" s="621">
        <f t="shared" si="0"/>
        <v>-8766194.5755440705</v>
      </c>
      <c r="G28" s="621">
        <f t="shared" si="0"/>
        <v>-9232710.6150192562</v>
      </c>
      <c r="H28" s="621">
        <f t="shared" si="0"/>
        <v>-9696340.7837646771</v>
      </c>
      <c r="I28" s="621">
        <f t="shared" si="0"/>
        <v>-10160347.389290793</v>
      </c>
      <c r="J28" s="621">
        <f t="shared" si="0"/>
        <v>-10624730.43159762</v>
      </c>
      <c r="K28" s="621">
        <f t="shared" si="0"/>
        <v>-11089489.91068515</v>
      </c>
      <c r="L28" s="621">
        <f t="shared" si="0"/>
        <v>-11554625.826553391</v>
      </c>
      <c r="M28" s="621">
        <f t="shared" si="0"/>
        <v>-12015558.342959387</v>
      </c>
      <c r="N28" s="621">
        <f t="shared" si="0"/>
        <v>-12481258.91399869</v>
      </c>
      <c r="O28" s="621">
        <f t="shared" si="0"/>
        <v>-12952292.194842352</v>
      </c>
      <c r="P28" s="621">
        <f t="shared" si="0"/>
        <v>-13418933.857833417</v>
      </c>
      <c r="Q28" s="621">
        <f t="shared" si="0"/>
        <v>-13885951.957605189</v>
      </c>
      <c r="R28" s="621">
        <f t="shared" si="0"/>
        <v>-14353346.494157666</v>
      </c>
      <c r="S28" s="621">
        <f t="shared" si="0"/>
        <v>-14821117.46749085</v>
      </c>
      <c r="T28" s="621">
        <f t="shared" si="0"/>
        <v>-15289264.877604736</v>
      </c>
      <c r="U28" s="621">
        <f t="shared" si="0"/>
        <v>-15757788.724499337</v>
      </c>
      <c r="V28" s="621">
        <f t="shared" si="0"/>
        <v>-16226689.008174639</v>
      </c>
      <c r="W28" s="621">
        <f t="shared" si="0"/>
        <v>-16702427.748777127</v>
      </c>
      <c r="X28" s="621">
        <f t="shared" si="0"/>
        <v>-17172269.124404203</v>
      </c>
    </row>
    <row r="29" spans="2:24" x14ac:dyDescent="0.3">
      <c r="B29" s="194"/>
      <c r="C29" s="178" t="s">
        <v>4</v>
      </c>
      <c r="D29" s="621">
        <f t="shared" ref="D29:S29" si="1">D9+D13+D17+D21+D25</f>
        <v>-2984305.7953476124</v>
      </c>
      <c r="E29" s="621">
        <f t="shared" si="1"/>
        <v>-3194392.2039980809</v>
      </c>
      <c r="F29" s="621">
        <f t="shared" si="1"/>
        <v>-3407076.8896370754</v>
      </c>
      <c r="G29" s="621">
        <f t="shared" si="1"/>
        <v>-3622887.9472624492</v>
      </c>
      <c r="H29" s="621">
        <f t="shared" si="1"/>
        <v>-3836452.7912311987</v>
      </c>
      <c r="I29" s="621">
        <f t="shared" si="1"/>
        <v>-4050369.6985318502</v>
      </c>
      <c r="J29" s="621">
        <f t="shared" si="1"/>
        <v>-4264638.6691644015</v>
      </c>
      <c r="K29" s="621">
        <f t="shared" si="1"/>
        <v>-4479259.7031288575</v>
      </c>
      <c r="L29" s="621">
        <f t="shared" si="1"/>
        <v>-4694232.8004252147</v>
      </c>
      <c r="M29" s="621">
        <f t="shared" si="1"/>
        <v>-4905727.4624032909</v>
      </c>
      <c r="N29" s="621">
        <f t="shared" si="1"/>
        <v>-5121228.6546975011</v>
      </c>
      <c r="O29" s="621">
        <f t="shared" si="1"/>
        <v>-5341264.4723056965</v>
      </c>
      <c r="P29" s="621">
        <f t="shared" si="1"/>
        <v>-5557645.8229296617</v>
      </c>
      <c r="Q29" s="621">
        <f t="shared" si="1"/>
        <v>-5774379.2368855271</v>
      </c>
      <c r="R29" s="621">
        <f t="shared" si="1"/>
        <v>-5991464.7141732955</v>
      </c>
      <c r="S29" s="621">
        <f t="shared" si="1"/>
        <v>-6208902.2547929641</v>
      </c>
      <c r="T29" s="621">
        <f t="shared" si="0"/>
        <v>-6426691.8587445375</v>
      </c>
      <c r="U29" s="621">
        <f t="shared" si="0"/>
        <v>-6644833.5260280119</v>
      </c>
      <c r="V29" s="621">
        <f t="shared" si="0"/>
        <v>-6863327.2566433875</v>
      </c>
      <c r="W29" s="621">
        <f t="shared" si="0"/>
        <v>-7087763.8659003554</v>
      </c>
      <c r="X29" s="621">
        <f t="shared" si="0"/>
        <v>-7307137.754845487</v>
      </c>
    </row>
    <row r="30" spans="2:24" x14ac:dyDescent="0.3">
      <c r="B30" s="194"/>
      <c r="C30" s="178" t="s">
        <v>93</v>
      </c>
      <c r="D30" s="621">
        <f>D10+D14+D18+D22+D26</f>
        <v>-10828384.52481487</v>
      </c>
      <c r="E30" s="621">
        <f t="shared" si="0"/>
        <v>-11497897.702748504</v>
      </c>
      <c r="F30" s="621">
        <f t="shared" si="0"/>
        <v>-12173271.465181148</v>
      </c>
      <c r="G30" s="621">
        <f t="shared" si="0"/>
        <v>-12855598.562281707</v>
      </c>
      <c r="H30" s="621">
        <f t="shared" si="0"/>
        <v>-13532793.574995875</v>
      </c>
      <c r="I30" s="621">
        <f t="shared" si="0"/>
        <v>-14210717.087822646</v>
      </c>
      <c r="J30" s="621">
        <f t="shared" si="0"/>
        <v>-14889369.100762021</v>
      </c>
      <c r="K30" s="621">
        <f t="shared" si="0"/>
        <v>-15568749.613814006</v>
      </c>
      <c r="L30" s="621">
        <f t="shared" si="0"/>
        <v>-16248858.626978606</v>
      </c>
      <c r="M30" s="621">
        <f t="shared" si="0"/>
        <v>-16921285.805362679</v>
      </c>
      <c r="N30" s="621">
        <f t="shared" si="0"/>
        <v>-17602487.568696193</v>
      </c>
      <c r="O30" s="621">
        <f t="shared" si="0"/>
        <v>-18293556.667148046</v>
      </c>
      <c r="P30" s="621">
        <f t="shared" si="0"/>
        <v>-18976579.680763077</v>
      </c>
      <c r="Q30" s="621">
        <f t="shared" si="0"/>
        <v>-19660331.19449072</v>
      </c>
      <c r="R30" s="621">
        <f t="shared" si="0"/>
        <v>-20344811.208330959</v>
      </c>
      <c r="S30" s="621">
        <f t="shared" si="0"/>
        <v>-21030019.722283814</v>
      </c>
      <c r="T30" s="621">
        <f t="shared" si="0"/>
        <v>-21715956.736349273</v>
      </c>
      <c r="U30" s="621">
        <f t="shared" si="0"/>
        <v>-22402622.250527348</v>
      </c>
      <c r="V30" s="621">
        <f t="shared" si="0"/>
        <v>-23090016.264818035</v>
      </c>
      <c r="W30" s="621">
        <f t="shared" si="0"/>
        <v>-23790191.614677485</v>
      </c>
      <c r="X30" s="621">
        <f t="shared" si="0"/>
        <v>-24479406.879249692</v>
      </c>
    </row>
    <row r="31" spans="2:24" x14ac:dyDescent="0.3">
      <c r="B31" s="199" t="s">
        <v>670</v>
      </c>
      <c r="C31" s="199"/>
      <c r="D31" s="323"/>
      <c r="E31" s="323"/>
      <c r="F31" s="323"/>
      <c r="G31" s="323"/>
      <c r="H31" s="323"/>
      <c r="I31" s="323"/>
      <c r="J31" s="323"/>
      <c r="K31" s="323"/>
      <c r="L31" s="323"/>
      <c r="M31" s="323"/>
      <c r="N31" s="323"/>
      <c r="O31" s="323"/>
      <c r="P31" s="323"/>
      <c r="Q31" s="323"/>
      <c r="R31" s="323"/>
      <c r="S31" s="323"/>
      <c r="T31" s="323"/>
      <c r="U31" s="323"/>
      <c r="V31" s="323"/>
      <c r="W31" s="323"/>
      <c r="X31" s="323"/>
    </row>
    <row r="32" spans="2:24" x14ac:dyDescent="0.3">
      <c r="B32" s="194"/>
      <c r="C32" s="178" t="s">
        <v>95</v>
      </c>
      <c r="D32" s="621">
        <f>0.5*D8+D12+D16+D20</f>
        <v>-5541025.0268086484</v>
      </c>
      <c r="E32" s="621">
        <f t="shared" ref="E32:X32" si="2">0.5*E8+E12+E16+E20</f>
        <v>-5850245.1162363766</v>
      </c>
      <c r="F32" s="621">
        <f t="shared" si="2"/>
        <v>-6159465.2056641057</v>
      </c>
      <c r="G32" s="621">
        <f t="shared" si="2"/>
        <v>-6468685.2950918339</v>
      </c>
      <c r="H32" s="621">
        <f t="shared" si="2"/>
        <v>-6777905.3845195686</v>
      </c>
      <c r="I32" s="621">
        <f t="shared" si="2"/>
        <v>-7087125.4739472941</v>
      </c>
      <c r="J32" s="621">
        <f t="shared" si="2"/>
        <v>-7396345.5633750223</v>
      </c>
      <c r="K32" s="621">
        <f t="shared" si="2"/>
        <v>-7705565.6528027486</v>
      </c>
      <c r="L32" s="621">
        <f t="shared" si="2"/>
        <v>-8014785.7422304787</v>
      </c>
      <c r="M32" s="621">
        <f t="shared" si="2"/>
        <v>-8324005.8316582106</v>
      </c>
      <c r="N32" s="621">
        <f t="shared" si="2"/>
        <v>-8633225.9210859425</v>
      </c>
      <c r="O32" s="621">
        <f t="shared" si="2"/>
        <v>-8942446.0105136707</v>
      </c>
      <c r="P32" s="621">
        <f t="shared" si="2"/>
        <v>-9251666.0999413989</v>
      </c>
      <c r="Q32" s="621">
        <f t="shared" si="2"/>
        <v>-9560886.1893691272</v>
      </c>
      <c r="R32" s="621">
        <f t="shared" si="2"/>
        <v>-9870106.2787968572</v>
      </c>
      <c r="S32" s="621">
        <f t="shared" si="2"/>
        <v>-10179326.368224587</v>
      </c>
      <c r="T32" s="621">
        <f t="shared" si="2"/>
        <v>-10488546.457652314</v>
      </c>
      <c r="U32" s="621">
        <f t="shared" si="2"/>
        <v>-10797766.547080047</v>
      </c>
      <c r="V32" s="621">
        <f t="shared" si="2"/>
        <v>-11106986.636507777</v>
      </c>
      <c r="W32" s="621">
        <f t="shared" si="2"/>
        <v>-11416206.725935502</v>
      </c>
      <c r="X32" s="621">
        <f t="shared" si="2"/>
        <v>-11725426.815363236</v>
      </c>
    </row>
    <row r="33" spans="2:24" x14ac:dyDescent="0.3">
      <c r="B33" s="194"/>
      <c r="C33" s="178" t="s">
        <v>4</v>
      </c>
      <c r="D33" s="621">
        <f>D9+D13+D17+D21</f>
        <v>-2555061.8565166383</v>
      </c>
      <c r="E33" s="621">
        <f t="shared" ref="E33:K33" si="3">E9+E13+E17+E21</f>
        <v>-2731509.2008559601</v>
      </c>
      <c r="F33" s="621">
        <f t="shared" si="3"/>
        <v>-2907956.5451952815</v>
      </c>
      <c r="G33" s="621">
        <f t="shared" si="3"/>
        <v>-3084403.8895346038</v>
      </c>
      <c r="H33" s="621">
        <f t="shared" si="3"/>
        <v>-3260851.2338739261</v>
      </c>
      <c r="I33" s="621">
        <f t="shared" si="3"/>
        <v>-3437298.5782132484</v>
      </c>
      <c r="J33" s="621">
        <f t="shared" si="3"/>
        <v>-3613745.9225525688</v>
      </c>
      <c r="K33" s="621">
        <f t="shared" si="3"/>
        <v>-3790193.2668918911</v>
      </c>
      <c r="L33" s="621">
        <f>L9+L13+L17+L21</f>
        <v>-3966640.6112312144</v>
      </c>
      <c r="M33" s="621">
        <f t="shared" ref="M33:X33" si="4">M9+M13+M17+M21</f>
        <v>-4143087.9555705357</v>
      </c>
      <c r="N33" s="621">
        <f t="shared" si="4"/>
        <v>-4319535.299909858</v>
      </c>
      <c r="O33" s="621">
        <f t="shared" si="4"/>
        <v>-4495982.6442491803</v>
      </c>
      <c r="P33" s="621">
        <f t="shared" si="4"/>
        <v>-4672429.9885885026</v>
      </c>
      <c r="Q33" s="621">
        <f t="shared" si="4"/>
        <v>-4848877.3329278249</v>
      </c>
      <c r="R33" s="621">
        <f t="shared" si="4"/>
        <v>-5025324.6772671472</v>
      </c>
      <c r="S33" s="621">
        <f t="shared" si="4"/>
        <v>-5201772.0216064677</v>
      </c>
      <c r="T33" s="621">
        <f t="shared" si="4"/>
        <v>-5378219.3659457909</v>
      </c>
      <c r="U33" s="621">
        <f t="shared" si="4"/>
        <v>-5554666.7102851141</v>
      </c>
      <c r="V33" s="621">
        <f t="shared" si="4"/>
        <v>-5731114.0546244364</v>
      </c>
      <c r="W33" s="621">
        <f t="shared" si="4"/>
        <v>-5907561.3989637578</v>
      </c>
      <c r="X33" s="621">
        <f t="shared" si="4"/>
        <v>-6084008.743303081</v>
      </c>
    </row>
    <row r="34" spans="2:24" x14ac:dyDescent="0.3">
      <c r="B34" s="194"/>
      <c r="C34" s="178" t="s">
        <v>93</v>
      </c>
      <c r="D34" s="621">
        <f>D32+D33</f>
        <v>-8096086.8833252862</v>
      </c>
      <c r="E34" s="621">
        <f t="shared" ref="E34:X34" si="5">E32+E33</f>
        <v>-8581754.3170923367</v>
      </c>
      <c r="F34" s="621">
        <f t="shared" si="5"/>
        <v>-9067421.7508593872</v>
      </c>
      <c r="G34" s="621">
        <f t="shared" si="5"/>
        <v>-9553089.1846264377</v>
      </c>
      <c r="H34" s="621">
        <f t="shared" si="5"/>
        <v>-10038756.618393496</v>
      </c>
      <c r="I34" s="621">
        <f t="shared" si="5"/>
        <v>-10524424.052160542</v>
      </c>
      <c r="J34" s="621">
        <f t="shared" si="5"/>
        <v>-11010091.485927591</v>
      </c>
      <c r="K34" s="621">
        <f t="shared" si="5"/>
        <v>-11495758.91969464</v>
      </c>
      <c r="L34" s="621">
        <f t="shared" si="5"/>
        <v>-11981426.353461694</v>
      </c>
      <c r="M34" s="621">
        <f t="shared" si="5"/>
        <v>-12467093.787228746</v>
      </c>
      <c r="N34" s="621">
        <f t="shared" si="5"/>
        <v>-12952761.220995801</v>
      </c>
      <c r="O34" s="621">
        <f t="shared" si="5"/>
        <v>-13438428.654762851</v>
      </c>
      <c r="P34" s="621">
        <f t="shared" si="5"/>
        <v>-13924096.088529902</v>
      </c>
      <c r="Q34" s="621">
        <f t="shared" si="5"/>
        <v>-14409763.522296952</v>
      </c>
      <c r="R34" s="621">
        <f t="shared" si="5"/>
        <v>-14895430.956064004</v>
      </c>
      <c r="S34" s="621">
        <f t="shared" si="5"/>
        <v>-15381098.389831055</v>
      </c>
      <c r="T34" s="621">
        <f t="shared" si="5"/>
        <v>-15866765.823598105</v>
      </c>
      <c r="U34" s="621">
        <f t="shared" si="5"/>
        <v>-16352433.257365162</v>
      </c>
      <c r="V34" s="621">
        <f t="shared" si="5"/>
        <v>-16838100.691132214</v>
      </c>
      <c r="W34" s="621">
        <f t="shared" si="5"/>
        <v>-17323768.124899261</v>
      </c>
      <c r="X34" s="621">
        <f t="shared" si="5"/>
        <v>-17809435.558666319</v>
      </c>
    </row>
    <row r="35" spans="2:24" ht="15" thickBot="1" x14ac:dyDescent="0.35"/>
    <row r="36" spans="2:24" ht="43.8" thickBot="1" x14ac:dyDescent="0.35">
      <c r="C36" s="199"/>
      <c r="D36" s="323" t="s">
        <v>631</v>
      </c>
      <c r="E36" s="726" t="s">
        <v>632</v>
      </c>
    </row>
    <row r="37" spans="2:24" ht="15" thickBot="1" x14ac:dyDescent="0.35">
      <c r="C37" s="727" t="s">
        <v>95</v>
      </c>
      <c r="D37" s="728">
        <f>SUM(D32:X32)</f>
        <v>-181297744.34280473</v>
      </c>
      <c r="E37" s="729">
        <f>D37/20</f>
        <v>-9064887.2171402369</v>
      </c>
    </row>
    <row r="38" spans="2:24" ht="15" thickBot="1" x14ac:dyDescent="0.35">
      <c r="C38" s="727" t="s">
        <v>4</v>
      </c>
      <c r="D38" s="728">
        <f>SUM(D33:X33)</f>
        <v>-90710241.298107028</v>
      </c>
      <c r="E38" s="729">
        <f>D38/20</f>
        <v>-4535512.064905351</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212"/>
  <sheetViews>
    <sheetView tabSelected="1" zoomScale="80" zoomScaleNormal="80" workbookViewId="0">
      <pane xSplit="2" ySplit="6" topLeftCell="C7" activePane="bottomRight" state="frozen"/>
      <selection pane="topRight" activeCell="C1" sqref="C1"/>
      <selection pane="bottomLeft" activeCell="A7" sqref="A7"/>
      <selection pane="bottomRight" activeCell="C12" sqref="C12:C13"/>
    </sheetView>
  </sheetViews>
  <sheetFormatPr defaultRowHeight="14.4" x14ac:dyDescent="0.3"/>
  <cols>
    <col min="2" max="2" width="41" bestFit="1" customWidth="1"/>
    <col min="3" max="4" width="20.6640625" customWidth="1"/>
    <col min="5" max="11" width="17.88671875" customWidth="1"/>
    <col min="12" max="12" width="10.88671875" bestFit="1" customWidth="1"/>
    <col min="13" max="28" width="17.88671875" customWidth="1"/>
    <col min="31" max="31" width="12.5546875" customWidth="1"/>
  </cols>
  <sheetData>
    <row r="1" spans="2:28" s="184" customFormat="1" x14ac:dyDescent="0.3"/>
    <row r="2" spans="2:28" s="184" customFormat="1" ht="18" x14ac:dyDescent="0.35">
      <c r="B2" s="186" t="s">
        <v>233</v>
      </c>
      <c r="C2" s="186"/>
      <c r="D2" s="186"/>
    </row>
    <row r="3" spans="2:28" s="184" customFormat="1" x14ac:dyDescent="0.3">
      <c r="B3" s="197" t="s">
        <v>568</v>
      </c>
      <c r="C3" s="197"/>
      <c r="D3" s="197"/>
    </row>
    <row r="4" spans="2:28" s="184" customFormat="1" x14ac:dyDescent="0.3">
      <c r="B4" s="197" t="s">
        <v>234</v>
      </c>
      <c r="C4" s="197"/>
      <c r="D4" s="197"/>
    </row>
    <row r="5" spans="2:28" s="184" customFormat="1" x14ac:dyDescent="0.3">
      <c r="B5" s="187" t="s">
        <v>229</v>
      </c>
      <c r="C5" s="188" t="s">
        <v>250</v>
      </c>
      <c r="D5" s="775">
        <v>0</v>
      </c>
      <c r="E5" s="185">
        <v>1</v>
      </c>
      <c r="F5" s="185">
        <v>2</v>
      </c>
      <c r="G5" s="185">
        <v>3</v>
      </c>
      <c r="H5" s="185">
        <v>4</v>
      </c>
      <c r="I5" s="185">
        <v>5</v>
      </c>
      <c r="J5" s="185">
        <v>6</v>
      </c>
      <c r="K5" s="185">
        <v>7</v>
      </c>
      <c r="L5" s="185">
        <v>8</v>
      </c>
      <c r="M5" s="185">
        <v>9</v>
      </c>
      <c r="N5" s="185">
        <v>10</v>
      </c>
      <c r="O5" s="185">
        <v>11</v>
      </c>
      <c r="P5" s="185">
        <v>12</v>
      </c>
      <c r="Q5" s="185">
        <v>13</v>
      </c>
      <c r="R5" s="185">
        <v>14</v>
      </c>
      <c r="S5" s="185">
        <v>15</v>
      </c>
      <c r="T5" s="185">
        <v>16</v>
      </c>
      <c r="U5" s="185">
        <v>17</v>
      </c>
      <c r="V5" s="185">
        <v>18</v>
      </c>
      <c r="W5" s="185">
        <v>19</v>
      </c>
      <c r="X5" s="185">
        <v>20</v>
      </c>
      <c r="Y5" s="185">
        <v>21</v>
      </c>
      <c r="Z5" s="185">
        <v>22</v>
      </c>
      <c r="AA5" s="185">
        <v>23</v>
      </c>
      <c r="AB5" s="185">
        <v>24</v>
      </c>
    </row>
    <row r="6" spans="2:28" s="184" customFormat="1" x14ac:dyDescent="0.3">
      <c r="B6" s="187" t="s">
        <v>32</v>
      </c>
      <c r="C6" s="188" t="s">
        <v>249</v>
      </c>
      <c r="D6" s="775">
        <v>2016</v>
      </c>
      <c r="E6" s="188">
        <v>2017</v>
      </c>
      <c r="F6" s="188">
        <v>2018</v>
      </c>
      <c r="G6" s="188">
        <v>2019</v>
      </c>
      <c r="H6" s="188">
        <v>2020</v>
      </c>
      <c r="I6" s="188">
        <v>2021</v>
      </c>
      <c r="J6" s="188">
        <v>2022</v>
      </c>
      <c r="K6" s="188">
        <v>2023</v>
      </c>
      <c r="L6" s="188">
        <v>2024</v>
      </c>
      <c r="M6" s="188">
        <v>2025</v>
      </c>
      <c r="N6" s="188">
        <v>2026</v>
      </c>
      <c r="O6" s="188">
        <v>2027</v>
      </c>
      <c r="P6" s="188">
        <v>2028</v>
      </c>
      <c r="Q6" s="188">
        <v>2029</v>
      </c>
      <c r="R6" s="188">
        <v>2030</v>
      </c>
      <c r="S6" s="188">
        <v>2031</v>
      </c>
      <c r="T6" s="188">
        <v>2032</v>
      </c>
      <c r="U6" s="188">
        <v>2033</v>
      </c>
      <c r="V6" s="188">
        <v>2034</v>
      </c>
      <c r="W6" s="188">
        <v>2035</v>
      </c>
      <c r="X6" s="188">
        <v>2036</v>
      </c>
      <c r="Y6" s="188">
        <v>2037</v>
      </c>
      <c r="Z6" s="188">
        <v>2038</v>
      </c>
      <c r="AA6" s="188">
        <v>2039</v>
      </c>
      <c r="AB6" s="188">
        <v>2040</v>
      </c>
    </row>
    <row r="7" spans="2:28" x14ac:dyDescent="0.3">
      <c r="B7" s="199" t="s">
        <v>236</v>
      </c>
      <c r="C7" s="199"/>
      <c r="D7" s="199"/>
      <c r="E7" s="200"/>
      <c r="F7" s="200"/>
      <c r="G7" s="200"/>
      <c r="H7" s="200"/>
      <c r="I7" s="200"/>
      <c r="J7" s="200"/>
      <c r="K7" s="200"/>
      <c r="L7" s="200"/>
      <c r="M7" s="200"/>
      <c r="N7" s="200"/>
      <c r="O7" s="200"/>
      <c r="P7" s="200"/>
      <c r="Q7" s="200"/>
      <c r="R7" s="200"/>
      <c r="S7" s="200"/>
      <c r="T7" s="200"/>
      <c r="U7" s="200"/>
      <c r="V7" s="200"/>
      <c r="W7" s="200"/>
      <c r="X7" s="200"/>
      <c r="Y7" s="200"/>
      <c r="Z7" s="200"/>
      <c r="AA7" s="200"/>
      <c r="AB7" s="200"/>
    </row>
    <row r="8" spans="2:28" x14ac:dyDescent="0.3">
      <c r="B8" s="198" t="s">
        <v>313</v>
      </c>
      <c r="C8" s="177">
        <f>SUM(D8:AB8)</f>
        <v>0</v>
      </c>
      <c r="D8" s="380">
        <v>0</v>
      </c>
      <c r="E8" s="380">
        <v>0</v>
      </c>
      <c r="F8" s="380">
        <v>0</v>
      </c>
      <c r="G8" s="380">
        <v>0</v>
      </c>
      <c r="H8" s="203">
        <f>'Straight-Line Change'!H24</f>
        <v>0</v>
      </c>
      <c r="I8" s="203">
        <f>'Straight-Line Change'!I24</f>
        <v>0</v>
      </c>
      <c r="J8" s="203">
        <f>'Straight-Line Change'!J24</f>
        <v>0</v>
      </c>
      <c r="K8" s="203">
        <f>'Straight-Line Change'!K24</f>
        <v>0</v>
      </c>
      <c r="L8" s="203">
        <f>'Straight-Line Change'!L24</f>
        <v>0</v>
      </c>
      <c r="M8" s="203">
        <f>'Straight-Line Change'!M24</f>
        <v>0</v>
      </c>
      <c r="N8" s="203">
        <f>'Straight-Line Change'!N24</f>
        <v>0</v>
      </c>
      <c r="O8" s="203">
        <f>'Straight-Line Change'!O24</f>
        <v>0</v>
      </c>
      <c r="P8" s="203">
        <f>'Straight-Line Change'!P24</f>
        <v>0</v>
      </c>
      <c r="Q8" s="203">
        <f>'Straight-Line Change'!Q24</f>
        <v>0</v>
      </c>
      <c r="R8" s="203">
        <f>'Straight-Line Change'!R24</f>
        <v>0</v>
      </c>
      <c r="S8" s="203">
        <f>'Straight-Line Change'!S24</f>
        <v>0</v>
      </c>
      <c r="T8" s="203">
        <f>'Straight-Line Change'!T24</f>
        <v>0</v>
      </c>
      <c r="U8" s="203">
        <f>'Straight-Line Change'!U24</f>
        <v>0</v>
      </c>
      <c r="V8" s="203">
        <f>'Straight-Line Change'!V24</f>
        <v>0</v>
      </c>
      <c r="W8" s="203">
        <f>'Straight-Line Change'!W24</f>
        <v>0</v>
      </c>
      <c r="X8" s="203">
        <f>'Straight-Line Change'!X24</f>
        <v>0</v>
      </c>
      <c r="Y8" s="203">
        <f>'Straight-Line Change'!Y24</f>
        <v>0</v>
      </c>
      <c r="Z8" s="203">
        <f>'Straight-Line Change'!Z24</f>
        <v>0</v>
      </c>
      <c r="AA8" s="203">
        <f>'Straight-Line Change'!AA24</f>
        <v>0</v>
      </c>
      <c r="AB8" s="203">
        <f>'Straight-Line Change'!AB24</f>
        <v>0</v>
      </c>
    </row>
    <row r="9" spans="2:28" x14ac:dyDescent="0.3">
      <c r="B9" s="194" t="s">
        <v>315</v>
      </c>
      <c r="C9" s="176">
        <f>SUM(D9:AB9)</f>
        <v>-5779402.0199999958</v>
      </c>
      <c r="D9" s="380">
        <v>0</v>
      </c>
      <c r="E9" s="380">
        <v>0</v>
      </c>
      <c r="F9" s="380">
        <v>0</v>
      </c>
      <c r="G9" s="380">
        <v>0</v>
      </c>
      <c r="H9" s="203">
        <f>'Straight-Line Change'!H27</f>
        <v>-164280.73527777777</v>
      </c>
      <c r="I9" s="203">
        <f>'Straight-Line Change'!I27</f>
        <v>-175373.62374999997</v>
      </c>
      <c r="J9" s="203">
        <f>'Straight-Line Change'!J27</f>
        <v>-186466.51222222217</v>
      </c>
      <c r="K9" s="203">
        <f>'Straight-Line Change'!K27</f>
        <v>-197559.40069444437</v>
      </c>
      <c r="L9" s="203">
        <f>'Straight-Line Change'!L27</f>
        <v>-208652.28916666657</v>
      </c>
      <c r="M9" s="203">
        <f>'Straight-Line Change'!M27</f>
        <v>-219745.17763888877</v>
      </c>
      <c r="N9" s="203">
        <f>'Straight-Line Change'!N27</f>
        <v>-230838.06611111097</v>
      </c>
      <c r="O9" s="203">
        <f>'Straight-Line Change'!O27</f>
        <v>-241930.95458333316</v>
      </c>
      <c r="P9" s="203">
        <f>'Straight-Line Change'!P27</f>
        <v>-253023.84305555536</v>
      </c>
      <c r="Q9" s="203">
        <f>'Straight-Line Change'!Q27</f>
        <v>-264116.73152777756</v>
      </c>
      <c r="R9" s="203">
        <f>'Straight-Line Change'!R27</f>
        <v>-275209.61999999976</v>
      </c>
      <c r="S9" s="203">
        <f>'Straight-Line Change'!S27</f>
        <v>-286302.50847222196</v>
      </c>
      <c r="T9" s="203">
        <f>'Straight-Line Change'!T27</f>
        <v>-297395.39694444416</v>
      </c>
      <c r="U9" s="203">
        <f>'Straight-Line Change'!U27</f>
        <v>-308488.28541666636</v>
      </c>
      <c r="V9" s="203">
        <f>'Straight-Line Change'!V27</f>
        <v>-319581.17388888856</v>
      </c>
      <c r="W9" s="203">
        <f>'Straight-Line Change'!W27</f>
        <v>-330674.06236111076</v>
      </c>
      <c r="X9" s="203">
        <f>'Straight-Line Change'!X27</f>
        <v>-341766.95083333296</v>
      </c>
      <c r="Y9" s="203">
        <f>'Straight-Line Change'!Y27</f>
        <v>-352859.83930555516</v>
      </c>
      <c r="Z9" s="203">
        <f>'Straight-Line Change'!Z27</f>
        <v>-363952.72777777736</v>
      </c>
      <c r="AA9" s="203">
        <f>'Straight-Line Change'!AA27</f>
        <v>-375045.61624999956</v>
      </c>
      <c r="AB9" s="203">
        <f>'Straight-Line Change'!AB27</f>
        <v>-386138.50472222199</v>
      </c>
    </row>
    <row r="10" spans="2:28" x14ac:dyDescent="0.3">
      <c r="B10" s="199" t="s">
        <v>252</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row>
    <row r="11" spans="2:28" x14ac:dyDescent="0.3">
      <c r="B11" s="194" t="s">
        <v>244</v>
      </c>
      <c r="C11" s="195">
        <f t="shared" ref="C11:C16" si="0">SUM(D11:AB11)</f>
        <v>173184378.52799991</v>
      </c>
      <c r="D11" s="381">
        <v>0</v>
      </c>
      <c r="E11" s="381">
        <v>0</v>
      </c>
      <c r="F11" s="381">
        <v>0</v>
      </c>
      <c r="G11" s="381">
        <v>0</v>
      </c>
      <c r="H11" s="204">
        <f>(-1)*'VOT and VOC'!H14</f>
        <v>4929137.166888888</v>
      </c>
      <c r="I11" s="204">
        <f>(-1)*'VOT and VOC'!I14</f>
        <v>5260910.9669999992</v>
      </c>
      <c r="J11" s="204">
        <f>(-1)*'VOT and VOC'!J14</f>
        <v>5592684.7671111105</v>
      </c>
      <c r="K11" s="204">
        <f>(-1)*'VOT and VOC'!K14</f>
        <v>5924458.5672222208</v>
      </c>
      <c r="L11" s="204">
        <f>(-1)*'VOT and VOC'!L14</f>
        <v>6256232.3673333311</v>
      </c>
      <c r="M11" s="204">
        <f>(-1)*'VOT and VOC'!M14</f>
        <v>6588006.1674444424</v>
      </c>
      <c r="N11" s="204">
        <f>(-1)*'VOT and VOC'!N14</f>
        <v>6919779.9675555527</v>
      </c>
      <c r="O11" s="204">
        <f>(-1)*'VOT and VOC'!O14</f>
        <v>7251553.767666664</v>
      </c>
      <c r="P11" s="204">
        <f>(-1)*'VOT and VOC'!P14</f>
        <v>7583327.5677777752</v>
      </c>
      <c r="Q11" s="204">
        <f>(-1)*'VOT and VOC'!Q14</f>
        <v>7915101.3678888865</v>
      </c>
      <c r="R11" s="204">
        <f>(-1)*'VOT and VOC'!R14</f>
        <v>8246875.1679999959</v>
      </c>
      <c r="S11" s="204">
        <f>(-1)*'VOT and VOC'!S14</f>
        <v>8578648.9681111071</v>
      </c>
      <c r="T11" s="204">
        <f>(-1)*'VOT and VOC'!T14</f>
        <v>8910422.7682222184</v>
      </c>
      <c r="U11" s="204">
        <f>(-1)*'VOT and VOC'!U14</f>
        <v>9242196.5683333296</v>
      </c>
      <c r="V11" s="204">
        <f>(-1)*'VOT and VOC'!V14</f>
        <v>9573970.368444439</v>
      </c>
      <c r="W11" s="204">
        <f>(-1)*'VOT and VOC'!W14</f>
        <v>9905744.1685555503</v>
      </c>
      <c r="X11" s="204">
        <f>(-1)*'VOT and VOC'!X14</f>
        <v>10237517.96866666</v>
      </c>
      <c r="Y11" s="204">
        <f>(-1)*'VOT and VOC'!Y14</f>
        <v>10569291.768777769</v>
      </c>
      <c r="Z11" s="204">
        <f>(-1)*'VOT and VOC'!Z14</f>
        <v>10901065.56888888</v>
      </c>
      <c r="AA11" s="204">
        <f>(-1)*'VOT and VOC'!AA14</f>
        <v>11232839.36899999</v>
      </c>
      <c r="AB11" s="204">
        <f>(-1)*'VOT and VOC'!AB14</f>
        <v>11564613.169111105</v>
      </c>
    </row>
    <row r="12" spans="2:28" x14ac:dyDescent="0.3">
      <c r="B12" s="198" t="s">
        <v>238</v>
      </c>
      <c r="C12" s="201">
        <f t="shared" si="0"/>
        <v>34288746.933681101</v>
      </c>
      <c r="D12" s="381">
        <v>0</v>
      </c>
      <c r="E12" s="381">
        <v>0</v>
      </c>
      <c r="F12" s="381">
        <v>0</v>
      </c>
      <c r="G12" s="381">
        <v>0</v>
      </c>
      <c r="H12" s="204">
        <f>(-1)*'VOT and VOC'!H18</f>
        <v>945645.80934417422</v>
      </c>
      <c r="I12" s="204">
        <f>(-1)*'VOT and VOC'!I18</f>
        <v>1014360.9757130002</v>
      </c>
      <c r="J12" s="204">
        <f>(-1)*'VOT and VOC'!J18</f>
        <v>1083076.142081826</v>
      </c>
      <c r="K12" s="204">
        <f>(-1)*'VOT and VOC'!K18</f>
        <v>1151791.3084506518</v>
      </c>
      <c r="L12" s="204">
        <f>(-1)*'VOT and VOC'!L18</f>
        <v>1220506.4748194779</v>
      </c>
      <c r="M12" s="204">
        <f>(-1)*'VOT and VOC'!M18</f>
        <v>1289221.6411883037</v>
      </c>
      <c r="N12" s="204">
        <f>(-1)*'VOT and VOC'!N18</f>
        <v>1357936.8075571298</v>
      </c>
      <c r="O12" s="204">
        <f>(-1)*'VOT and VOC'!O18</f>
        <v>1426651.9739259556</v>
      </c>
      <c r="P12" s="204">
        <f>(-1)*'VOT and VOC'!P18</f>
        <v>1495367.1402947814</v>
      </c>
      <c r="Q12" s="204">
        <f>(-1)*'VOT and VOC'!Q18</f>
        <v>1564082.3066636072</v>
      </c>
      <c r="R12" s="204">
        <f>(-1)*'VOT and VOC'!R18</f>
        <v>1632797.4730324331</v>
      </c>
      <c r="S12" s="204">
        <f>(-1)*'VOT and VOC'!S18</f>
        <v>1701512.6394012591</v>
      </c>
      <c r="T12" s="204">
        <f>(-1)*'VOT and VOC'!T18</f>
        <v>1770227.8057700852</v>
      </c>
      <c r="U12" s="204">
        <f>(-1)*'VOT and VOC'!U18</f>
        <v>1838942.9721389108</v>
      </c>
      <c r="V12" s="204">
        <f>(-1)*'VOT and VOC'!V18</f>
        <v>1907658.1385077368</v>
      </c>
      <c r="W12" s="204">
        <f>(-1)*'VOT and VOC'!W18</f>
        <v>1976373.3048765627</v>
      </c>
      <c r="X12" s="204">
        <f>(-1)*'VOT and VOC'!X18</f>
        <v>2045088.4712453885</v>
      </c>
      <c r="Y12" s="204">
        <f>(-1)*'VOT and VOC'!Y18</f>
        <v>2113803.6376142143</v>
      </c>
      <c r="Z12" s="204">
        <f>(-1)*'VOT and VOC'!Z18</f>
        <v>2182518.8039830402</v>
      </c>
      <c r="AA12" s="204">
        <f>(-1)*'VOT and VOC'!AA18</f>
        <v>2251233.970351866</v>
      </c>
      <c r="AB12" s="204">
        <f>(-1)*'VOT and VOC'!AB18</f>
        <v>2319949.1367206927</v>
      </c>
    </row>
    <row r="13" spans="2:28" x14ac:dyDescent="0.3">
      <c r="B13" s="194" t="s">
        <v>239</v>
      </c>
      <c r="C13" s="195">
        <f t="shared" si="0"/>
        <v>46722805.832605697</v>
      </c>
      <c r="D13" s="381">
        <v>0</v>
      </c>
      <c r="E13" s="381">
        <v>0</v>
      </c>
      <c r="F13" s="381">
        <v>0</v>
      </c>
      <c r="G13" s="381">
        <v>0</v>
      </c>
      <c r="H13" s="204">
        <f>(-1)*'VOT and VOC'!H22</f>
        <v>1301390.4519642214</v>
      </c>
      <c r="I13" s="204">
        <f>(-1)*'VOT and VOC'!I22</f>
        <v>1393740.9583516358</v>
      </c>
      <c r="J13" s="204">
        <f>(-1)*'VOT and VOC'!J22</f>
        <v>1486091.4647390507</v>
      </c>
      <c r="K13" s="204">
        <f>(-1)*'VOT and VOC'!K22</f>
        <v>1578441.9711264651</v>
      </c>
      <c r="L13" s="204">
        <f>(-1)*'VOT and VOC'!L22</f>
        <v>1670792.4775138795</v>
      </c>
      <c r="M13" s="204">
        <f>(-1)*'VOT and VOC'!M22</f>
        <v>1763142.9839012942</v>
      </c>
      <c r="N13" s="204">
        <f>(-1)*'VOT and VOC'!N22</f>
        <v>1855493.4902887088</v>
      </c>
      <c r="O13" s="204">
        <f>(-1)*'VOT and VOC'!O22</f>
        <v>1947843.9966761232</v>
      </c>
      <c r="P13" s="204">
        <f>(-1)*'VOT and VOC'!P22</f>
        <v>2040194.5030635381</v>
      </c>
      <c r="Q13" s="204">
        <f>(-1)*'VOT and VOC'!Q22</f>
        <v>2132545.0094509525</v>
      </c>
      <c r="R13" s="204">
        <f>(-1)*'VOT and VOC'!R22</f>
        <v>2224895.5158383669</v>
      </c>
      <c r="S13" s="204">
        <f>(-1)*'VOT and VOC'!S22</f>
        <v>2317246.0222257813</v>
      </c>
      <c r="T13" s="204">
        <f>(-1)*'VOT and VOC'!T22</f>
        <v>2409596.5286131958</v>
      </c>
      <c r="U13" s="204">
        <f>(-1)*'VOT and VOC'!U22</f>
        <v>2501947.0350006111</v>
      </c>
      <c r="V13" s="204">
        <f>(-1)*'VOT and VOC'!V22</f>
        <v>2594297.5413880255</v>
      </c>
      <c r="W13" s="204">
        <f>(-1)*'VOT and VOC'!W22</f>
        <v>2686648.0477754395</v>
      </c>
      <c r="X13" s="204">
        <f>(-1)*'VOT and VOC'!X22</f>
        <v>2778998.5541628539</v>
      </c>
      <c r="Y13" s="204">
        <f>(-1)*'VOT and VOC'!Y22</f>
        <v>2871349.0605502683</v>
      </c>
      <c r="Z13" s="204">
        <f>(-1)*'VOT and VOC'!Z22</f>
        <v>2963699.5669376832</v>
      </c>
      <c r="AA13" s="204">
        <f>(-1)*'VOT and VOC'!AA22</f>
        <v>3056050.0733250971</v>
      </c>
      <c r="AB13" s="204">
        <f>(-1)*'VOT and VOC'!AB22</f>
        <v>3148400.5797125129</v>
      </c>
    </row>
    <row r="14" spans="2:28" x14ac:dyDescent="0.3">
      <c r="B14" s="198" t="s">
        <v>240</v>
      </c>
      <c r="C14" s="201">
        <f t="shared" si="0"/>
        <v>89742950.474625051</v>
      </c>
      <c r="D14" s="381">
        <v>0</v>
      </c>
      <c r="E14" s="381">
        <v>0</v>
      </c>
      <c r="F14" s="381">
        <v>0</v>
      </c>
      <c r="G14" s="381">
        <v>0</v>
      </c>
      <c r="H14" s="204">
        <f>(-1)*'Crash Costs'!J36</f>
        <v>2993068.7081280053</v>
      </c>
      <c r="I14" s="204">
        <f>(-1)*'Crash Costs'!K36</f>
        <v>3121109.2205277011</v>
      </c>
      <c r="J14" s="204">
        <f>(-1)*'Crash Costs'!L36</f>
        <v>3249149.7329274006</v>
      </c>
      <c r="K14" s="204">
        <f>(-1)*'Crash Costs'!M36</f>
        <v>3377190.2453271002</v>
      </c>
      <c r="L14" s="204">
        <f>(-1)*'Crash Costs'!N36</f>
        <v>3505230.7577268071</v>
      </c>
      <c r="M14" s="204">
        <f>(-1)*'Crash Costs'!O36</f>
        <v>3633271.270126503</v>
      </c>
      <c r="N14" s="204">
        <f>(-1)*'Crash Costs'!P36</f>
        <v>3761311.7825261988</v>
      </c>
      <c r="O14" s="204">
        <f>(-1)*'Crash Costs'!Q36</f>
        <v>3889352.2949258946</v>
      </c>
      <c r="P14" s="204">
        <f>(-1)*'Crash Costs'!R36</f>
        <v>4017392.8073255979</v>
      </c>
      <c r="Q14" s="204">
        <f>(-1)*'Crash Costs'!S36</f>
        <v>4145433.3197253011</v>
      </c>
      <c r="R14" s="204">
        <f>(-1)*'Crash Costs'!T36</f>
        <v>4273473.8321250044</v>
      </c>
      <c r="S14" s="204">
        <f>(-1)*'Crash Costs'!U36</f>
        <v>4401514.3445247002</v>
      </c>
      <c r="T14" s="204">
        <f>(-1)*'Crash Costs'!V36</f>
        <v>4529554.8569243997</v>
      </c>
      <c r="U14" s="204">
        <f>(-1)*'Crash Costs'!W36</f>
        <v>4657595.369324103</v>
      </c>
      <c r="V14" s="204">
        <f>(-1)*'Crash Costs'!X36</f>
        <v>4785635.8817237988</v>
      </c>
      <c r="W14" s="204">
        <f>(-1)*'Crash Costs'!Y36</f>
        <v>4913676.3941235021</v>
      </c>
      <c r="X14" s="204">
        <f>(-1)*'Crash Costs'!Z36</f>
        <v>5041716.9065231979</v>
      </c>
      <c r="Y14" s="204">
        <f>(-1)*'Crash Costs'!AA36</f>
        <v>5169757.4189229049</v>
      </c>
      <c r="Z14" s="204">
        <f>(-1)*'Crash Costs'!AB36</f>
        <v>5297797.9313226119</v>
      </c>
      <c r="AA14" s="204">
        <f>(-1)*'Crash Costs'!AC36</f>
        <v>5425838.443722304</v>
      </c>
      <c r="AB14" s="204">
        <f>(-1)*'Crash Costs'!AD36</f>
        <v>5553878.9561220035</v>
      </c>
    </row>
    <row r="15" spans="2:28" x14ac:dyDescent="0.3">
      <c r="B15" s="194" t="s">
        <v>241</v>
      </c>
      <c r="C15" s="195">
        <f t="shared" si="0"/>
        <v>26174024.083184939</v>
      </c>
      <c r="D15" s="381">
        <v>0</v>
      </c>
      <c r="E15" s="381">
        <v>0</v>
      </c>
      <c r="F15" s="381">
        <v>0</v>
      </c>
      <c r="G15" s="381">
        <v>0</v>
      </c>
      <c r="H15" s="204">
        <f>(-1)*'Emissions Costs'!H34</f>
        <v>659142.38848958118</v>
      </c>
      <c r="I15" s="204">
        <f>(-1)*'Emissions Costs'!I34</f>
        <v>707775.5811561672</v>
      </c>
      <c r="J15" s="204">
        <f>(-1)*'Emissions Costs'!J34</f>
        <v>762269.35832175903</v>
      </c>
      <c r="K15" s="204">
        <f>(-1)*'Emissions Costs'!K34</f>
        <v>823716.47015526949</v>
      </c>
      <c r="L15" s="204">
        <f>(-1)*'Emissions Costs'!L34</f>
        <v>880031.49760238174</v>
      </c>
      <c r="M15" s="204">
        <f>(-1)*'Emissions Costs'!M34</f>
        <v>937075.02516210242</v>
      </c>
      <c r="N15" s="204">
        <f>(-1)*'Emissions Costs'!N34</f>
        <v>994847.05283443141</v>
      </c>
      <c r="O15" s="204">
        <f>(-1)*'Emissions Costs'!O34</f>
        <v>1053347.5806193685</v>
      </c>
      <c r="P15" s="204">
        <f>(-1)*'Emissions Costs'!P34</f>
        <v>1112576.6085169136</v>
      </c>
      <c r="Q15" s="204">
        <f>(-1)*'Emissions Costs'!Q34</f>
        <v>1164123.8016339324</v>
      </c>
      <c r="R15" s="204">
        <f>(-1)*'Emissions Costs'!R34</f>
        <v>1224445.5797003901</v>
      </c>
      <c r="S15" s="204">
        <f>(-1)*'Emissions Costs'!S34</f>
        <v>1294634.6928851989</v>
      </c>
      <c r="T15" s="204">
        <f>(-1)*'Emissions Costs'!T34</f>
        <v>1356777.721233177</v>
      </c>
      <c r="U15" s="204">
        <f>(-1)*'Emissions Costs'!U34</f>
        <v>1419649.249693763</v>
      </c>
      <c r="V15" s="204">
        <f>(-1)*'Emissions Costs'!V34</f>
        <v>1483249.2782669575</v>
      </c>
      <c r="W15" s="204">
        <f>(-1)*'Emissions Costs'!W34</f>
        <v>1547577.8069527603</v>
      </c>
      <c r="X15" s="204">
        <f>(-1)*'Emissions Costs'!X34</f>
        <v>1612634.8357511712</v>
      </c>
      <c r="Y15" s="204">
        <f>(-1)*'Emissions Costs'!Y34</f>
        <v>1678420.3646621904</v>
      </c>
      <c r="Z15" s="204">
        <f>(-1)*'Emissions Costs'!Z34</f>
        <v>1744934.3936858175</v>
      </c>
      <c r="AA15" s="204">
        <f>(-1)*'Emissions Costs'!AA34</f>
        <v>1824229.7582782286</v>
      </c>
      <c r="AB15" s="204">
        <f>(-1)*'Emissions Costs'!AB34</f>
        <v>1892565.037583377</v>
      </c>
    </row>
    <row r="16" spans="2:28" x14ac:dyDescent="0.3">
      <c r="B16" s="179" t="s">
        <v>246</v>
      </c>
      <c r="C16" s="215">
        <f t="shared" si="0"/>
        <v>370112905.85209668</v>
      </c>
      <c r="D16" s="381">
        <f t="shared" ref="D16" si="1">SUM(D11:D15)</f>
        <v>0</v>
      </c>
      <c r="E16" s="381">
        <f t="shared" ref="E16:AB16" si="2">SUM(E11:E15)</f>
        <v>0</v>
      </c>
      <c r="F16" s="381">
        <f t="shared" si="2"/>
        <v>0</v>
      </c>
      <c r="G16" s="381">
        <f t="shared" si="2"/>
        <v>0</v>
      </c>
      <c r="H16" s="204">
        <f t="shared" si="2"/>
        <v>10828384.52481487</v>
      </c>
      <c r="I16" s="204">
        <f t="shared" si="2"/>
        <v>11497897.702748504</v>
      </c>
      <c r="J16" s="204">
        <f t="shared" si="2"/>
        <v>12173271.465181148</v>
      </c>
      <c r="K16" s="204">
        <f t="shared" si="2"/>
        <v>12855598.562281707</v>
      </c>
      <c r="L16" s="204">
        <f t="shared" si="2"/>
        <v>13532793.574995875</v>
      </c>
      <c r="M16" s="204">
        <f t="shared" si="2"/>
        <v>14210717.087822646</v>
      </c>
      <c r="N16" s="204">
        <f t="shared" si="2"/>
        <v>14889369.100762021</v>
      </c>
      <c r="O16" s="204">
        <f t="shared" si="2"/>
        <v>15568749.613814006</v>
      </c>
      <c r="P16" s="204">
        <f t="shared" si="2"/>
        <v>16248858.626978606</v>
      </c>
      <c r="Q16" s="204">
        <f t="shared" si="2"/>
        <v>16921285.805362679</v>
      </c>
      <c r="R16" s="204">
        <f t="shared" si="2"/>
        <v>17602487.568696193</v>
      </c>
      <c r="S16" s="204">
        <f t="shared" si="2"/>
        <v>18293556.667148046</v>
      </c>
      <c r="T16" s="204">
        <f t="shared" si="2"/>
        <v>18976579.680763077</v>
      </c>
      <c r="U16" s="204">
        <f t="shared" si="2"/>
        <v>19660331.19449072</v>
      </c>
      <c r="V16" s="204">
        <f t="shared" si="2"/>
        <v>20344811.208330959</v>
      </c>
      <c r="W16" s="204">
        <f t="shared" si="2"/>
        <v>21030019.722283814</v>
      </c>
      <c r="X16" s="204">
        <f t="shared" si="2"/>
        <v>21715956.736349273</v>
      </c>
      <c r="Y16" s="204">
        <f t="shared" si="2"/>
        <v>22402622.250527348</v>
      </c>
      <c r="Z16" s="204">
        <f t="shared" si="2"/>
        <v>23090016.264818035</v>
      </c>
      <c r="AA16" s="204">
        <f t="shared" si="2"/>
        <v>23790191.614677485</v>
      </c>
      <c r="AB16" s="204">
        <f t="shared" si="2"/>
        <v>24479406.879249692</v>
      </c>
    </row>
    <row r="17" spans="2:28" x14ac:dyDescent="0.3">
      <c r="B17" s="199" t="s">
        <v>253</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row>
    <row r="18" spans="2:28" x14ac:dyDescent="0.3">
      <c r="B18" s="194" t="s">
        <v>683</v>
      </c>
      <c r="C18" s="195">
        <f>SUM(D18:AB18)</f>
        <v>129164870.00000001</v>
      </c>
      <c r="D18" s="204">
        <f>ConstructionCosts!C16</f>
        <v>8614617</v>
      </c>
      <c r="E18" s="204">
        <f>ConstructionCosts!D16</f>
        <v>925956</v>
      </c>
      <c r="F18" s="204">
        <f>ConstructionCosts!E16</f>
        <v>39874765.666666672</v>
      </c>
      <c r="G18" s="204">
        <f>ConstructionCosts!F16</f>
        <v>39874765.666666672</v>
      </c>
      <c r="H18" s="204">
        <f>ConstructionCosts!G16</f>
        <v>39874765.666666672</v>
      </c>
      <c r="I18" s="204">
        <f>ConstructionCosts!H16</f>
        <v>0</v>
      </c>
      <c r="J18" s="204">
        <v>0</v>
      </c>
      <c r="K18" s="204">
        <v>0</v>
      </c>
      <c r="L18" s="204">
        <v>0</v>
      </c>
      <c r="M18" s="204">
        <v>0</v>
      </c>
      <c r="N18" s="204">
        <v>0</v>
      </c>
      <c r="O18" s="204">
        <v>0</v>
      </c>
      <c r="P18" s="204">
        <v>0</v>
      </c>
      <c r="Q18" s="204">
        <v>0</v>
      </c>
      <c r="R18" s="204">
        <v>0</v>
      </c>
      <c r="S18" s="204">
        <v>0</v>
      </c>
      <c r="T18" s="204">
        <v>0</v>
      </c>
      <c r="U18" s="204">
        <v>0</v>
      </c>
      <c r="V18" s="204">
        <v>0</v>
      </c>
      <c r="W18" s="204">
        <v>0</v>
      </c>
      <c r="X18" s="204">
        <v>0</v>
      </c>
      <c r="Y18" s="204">
        <v>0</v>
      </c>
      <c r="Z18" s="204">
        <v>0</v>
      </c>
      <c r="AA18" s="204">
        <v>0</v>
      </c>
      <c r="AB18" s="204">
        <v>0</v>
      </c>
    </row>
    <row r="19" spans="2:28" x14ac:dyDescent="0.3">
      <c r="B19" s="198" t="s">
        <v>245</v>
      </c>
      <c r="C19" s="201">
        <f>SUM(D19:AB19)</f>
        <v>780685.94552834064</v>
      </c>
      <c r="D19" s="204">
        <v>0</v>
      </c>
      <c r="E19" s="204">
        <f>'M&amp;O Costs'!C9</f>
        <v>0</v>
      </c>
      <c r="F19" s="204">
        <f>'M&amp;O Costs'!D9</f>
        <v>0</v>
      </c>
      <c r="G19" s="204">
        <f>'M&amp;O Costs'!E9</f>
        <v>0</v>
      </c>
      <c r="H19" s="204">
        <f>'M&amp;O Costs'!F9</f>
        <v>0</v>
      </c>
      <c r="I19" s="204">
        <f>'M&amp;O Costs'!G9</f>
        <v>39034.297276417034</v>
      </c>
      <c r="J19" s="204">
        <f>'M&amp;O Costs'!H9</f>
        <v>39034.297276417034</v>
      </c>
      <c r="K19" s="204">
        <f>'M&amp;O Costs'!I9</f>
        <v>39034.297276417034</v>
      </c>
      <c r="L19" s="204">
        <f>'M&amp;O Costs'!J9</f>
        <v>39034.297276417034</v>
      </c>
      <c r="M19" s="204">
        <f>'M&amp;O Costs'!K9</f>
        <v>39034.297276417034</v>
      </c>
      <c r="N19" s="204">
        <f>'M&amp;O Costs'!L9</f>
        <v>39034.297276417034</v>
      </c>
      <c r="O19" s="204">
        <f>'M&amp;O Costs'!M9</f>
        <v>39034.297276417034</v>
      </c>
      <c r="P19" s="204">
        <f>'M&amp;O Costs'!N9</f>
        <v>39034.297276417034</v>
      </c>
      <c r="Q19" s="204">
        <f>'M&amp;O Costs'!O9</f>
        <v>39034.297276417034</v>
      </c>
      <c r="R19" s="204">
        <f>'M&amp;O Costs'!P9</f>
        <v>39034.297276417034</v>
      </c>
      <c r="S19" s="204">
        <f>'M&amp;O Costs'!Q9</f>
        <v>39034.297276417034</v>
      </c>
      <c r="T19" s="204">
        <f>'M&amp;O Costs'!R9</f>
        <v>39034.297276417034</v>
      </c>
      <c r="U19" s="204">
        <f>'M&amp;O Costs'!S9</f>
        <v>39034.297276417034</v>
      </c>
      <c r="V19" s="204">
        <f>'M&amp;O Costs'!T9</f>
        <v>39034.297276417034</v>
      </c>
      <c r="W19" s="204">
        <f>'M&amp;O Costs'!U9</f>
        <v>39034.297276417034</v>
      </c>
      <c r="X19" s="204">
        <f>'M&amp;O Costs'!V9</f>
        <v>39034.297276417034</v>
      </c>
      <c r="Y19" s="204">
        <f>'M&amp;O Costs'!W9</f>
        <v>39034.297276417034</v>
      </c>
      <c r="Z19" s="204">
        <f>'M&amp;O Costs'!X9</f>
        <v>39034.297276417034</v>
      </c>
      <c r="AA19" s="204">
        <f>'M&amp;O Costs'!Y9</f>
        <v>39034.297276417034</v>
      </c>
      <c r="AB19" s="204">
        <f>'M&amp;O Costs'!Z9</f>
        <v>39034.297276417034</v>
      </c>
    </row>
    <row r="20" spans="2:28" x14ac:dyDescent="0.3">
      <c r="B20" s="178" t="s">
        <v>247</v>
      </c>
      <c r="C20" s="202">
        <f>SUM(D20:AB20)</f>
        <v>129945555.94552846</v>
      </c>
      <c r="D20" s="204">
        <f t="shared" ref="D20:AB20" si="3">SUM(D18:D19)</f>
        <v>8614617</v>
      </c>
      <c r="E20" s="204">
        <f t="shared" si="3"/>
        <v>925956</v>
      </c>
      <c r="F20" s="204">
        <f t="shared" si="3"/>
        <v>39874765.666666672</v>
      </c>
      <c r="G20" s="204">
        <f t="shared" si="3"/>
        <v>39874765.666666672</v>
      </c>
      <c r="H20" s="204">
        <f t="shared" si="3"/>
        <v>39874765.666666672</v>
      </c>
      <c r="I20" s="204">
        <f t="shared" si="3"/>
        <v>39034.297276417034</v>
      </c>
      <c r="J20" s="204">
        <f t="shared" si="3"/>
        <v>39034.297276417034</v>
      </c>
      <c r="K20" s="204">
        <f t="shared" si="3"/>
        <v>39034.297276417034</v>
      </c>
      <c r="L20" s="204">
        <f t="shared" si="3"/>
        <v>39034.297276417034</v>
      </c>
      <c r="M20" s="204">
        <f t="shared" si="3"/>
        <v>39034.297276417034</v>
      </c>
      <c r="N20" s="204">
        <f t="shared" si="3"/>
        <v>39034.297276417034</v>
      </c>
      <c r="O20" s="204">
        <f t="shared" si="3"/>
        <v>39034.297276417034</v>
      </c>
      <c r="P20" s="204">
        <f t="shared" si="3"/>
        <v>39034.297276417034</v>
      </c>
      <c r="Q20" s="204">
        <f t="shared" si="3"/>
        <v>39034.297276417034</v>
      </c>
      <c r="R20" s="204">
        <f t="shared" si="3"/>
        <v>39034.297276417034</v>
      </c>
      <c r="S20" s="204">
        <f t="shared" si="3"/>
        <v>39034.297276417034</v>
      </c>
      <c r="T20" s="204">
        <f t="shared" si="3"/>
        <v>39034.297276417034</v>
      </c>
      <c r="U20" s="204">
        <f t="shared" si="3"/>
        <v>39034.297276417034</v>
      </c>
      <c r="V20" s="204">
        <f t="shared" si="3"/>
        <v>39034.297276417034</v>
      </c>
      <c r="W20" s="204">
        <f t="shared" si="3"/>
        <v>39034.297276417034</v>
      </c>
      <c r="X20" s="204">
        <f t="shared" si="3"/>
        <v>39034.297276417034</v>
      </c>
      <c r="Y20" s="204">
        <f t="shared" si="3"/>
        <v>39034.297276417034</v>
      </c>
      <c r="Z20" s="204">
        <f t="shared" si="3"/>
        <v>39034.297276417034</v>
      </c>
      <c r="AA20" s="204">
        <f t="shared" si="3"/>
        <v>39034.297276417034</v>
      </c>
      <c r="AB20" s="204">
        <f t="shared" si="3"/>
        <v>39034.297276417034</v>
      </c>
    </row>
    <row r="21" spans="2:28" x14ac:dyDescent="0.3">
      <c r="B21" s="199" t="s">
        <v>254</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row>
    <row r="22" spans="2:28" x14ac:dyDescent="0.3">
      <c r="B22" s="197" t="s">
        <v>248</v>
      </c>
      <c r="C22" s="210">
        <f>SUM(D22:AB22)</f>
        <v>240167349.90656832</v>
      </c>
      <c r="D22" s="204">
        <f t="shared" ref="D22:AB22" si="4">D16-D20</f>
        <v>-8614617</v>
      </c>
      <c r="E22" s="204">
        <f t="shared" si="4"/>
        <v>-925956</v>
      </c>
      <c r="F22" s="204">
        <f t="shared" si="4"/>
        <v>-39874765.666666672</v>
      </c>
      <c r="G22" s="204">
        <f t="shared" si="4"/>
        <v>-39874765.666666672</v>
      </c>
      <c r="H22" s="204">
        <f t="shared" si="4"/>
        <v>-29046381.141851801</v>
      </c>
      <c r="I22" s="204">
        <f t="shared" si="4"/>
        <v>11458863.405472087</v>
      </c>
      <c r="J22" s="204">
        <f t="shared" si="4"/>
        <v>12134237.167904731</v>
      </c>
      <c r="K22" s="204">
        <f t="shared" si="4"/>
        <v>12816564.265005291</v>
      </c>
      <c r="L22" s="204">
        <f t="shared" si="4"/>
        <v>13493759.277719459</v>
      </c>
      <c r="M22" s="204">
        <f t="shared" si="4"/>
        <v>14171682.790546229</v>
      </c>
      <c r="N22" s="204">
        <f t="shared" si="4"/>
        <v>14850334.803485604</v>
      </c>
      <c r="O22" s="204">
        <f t="shared" si="4"/>
        <v>15529715.316537589</v>
      </c>
      <c r="P22" s="204">
        <f t="shared" si="4"/>
        <v>16209824.329702189</v>
      </c>
      <c r="Q22" s="204">
        <f t="shared" si="4"/>
        <v>16882251.50808626</v>
      </c>
      <c r="R22" s="204">
        <f t="shared" si="4"/>
        <v>17563453.271419775</v>
      </c>
      <c r="S22" s="204">
        <f t="shared" si="4"/>
        <v>18254522.369871628</v>
      </c>
      <c r="T22" s="204">
        <f t="shared" si="4"/>
        <v>18937545.383486658</v>
      </c>
      <c r="U22" s="204">
        <f t="shared" si="4"/>
        <v>19621296.897214301</v>
      </c>
      <c r="V22" s="204">
        <f t="shared" si="4"/>
        <v>20305776.91105454</v>
      </c>
      <c r="W22" s="204">
        <f t="shared" si="4"/>
        <v>20990985.425007395</v>
      </c>
      <c r="X22" s="204">
        <f t="shared" si="4"/>
        <v>21676922.439072855</v>
      </c>
      <c r="Y22" s="204">
        <f t="shared" si="4"/>
        <v>22363587.95325093</v>
      </c>
      <c r="Z22" s="204">
        <f t="shared" si="4"/>
        <v>23050981.967541616</v>
      </c>
      <c r="AA22" s="204">
        <f t="shared" si="4"/>
        <v>23751157.317401066</v>
      </c>
      <c r="AB22" s="204">
        <f t="shared" si="4"/>
        <v>24440372.581973273</v>
      </c>
    </row>
    <row r="23" spans="2:28" x14ac:dyDescent="0.3">
      <c r="B23" s="197" t="s">
        <v>251</v>
      </c>
      <c r="C23" s="211">
        <f>C16/C20</f>
        <v>2.8482151864219452</v>
      </c>
      <c r="D23" s="211"/>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row>
    <row r="24" spans="2:28" ht="15" thickBot="1" x14ac:dyDescent="0.35">
      <c r="E24" s="67"/>
      <c r="F24" s="67"/>
      <c r="G24" s="67"/>
      <c r="H24" s="67"/>
      <c r="I24" s="67"/>
      <c r="J24" s="67"/>
      <c r="K24" s="67"/>
      <c r="L24" s="67"/>
      <c r="M24" s="67"/>
      <c r="N24" s="67"/>
      <c r="O24" s="67"/>
      <c r="P24" s="67"/>
      <c r="Q24" s="67"/>
      <c r="R24" s="67"/>
      <c r="S24" s="67"/>
      <c r="T24" s="67"/>
      <c r="U24" s="67"/>
      <c r="V24" s="67"/>
      <c r="W24" s="67"/>
      <c r="X24" s="67"/>
      <c r="Y24" s="67"/>
      <c r="Z24" s="67"/>
      <c r="AA24" s="67"/>
      <c r="AB24" s="67"/>
    </row>
    <row r="25" spans="2:28" ht="15" thickBot="1" x14ac:dyDescent="0.35">
      <c r="B25" s="197" t="s">
        <v>255</v>
      </c>
      <c r="C25" s="187" t="s">
        <v>256</v>
      </c>
      <c r="D25" s="187"/>
      <c r="E25" s="205">
        <v>7.0000000000000007E-2</v>
      </c>
      <c r="F25" s="206"/>
      <c r="G25" s="206"/>
      <c r="H25" s="206"/>
      <c r="I25" s="206"/>
      <c r="J25" s="206"/>
      <c r="K25" s="206"/>
      <c r="L25" s="206"/>
      <c r="M25" s="206"/>
      <c r="N25" s="206"/>
      <c r="O25" s="206"/>
      <c r="P25" s="206"/>
      <c r="Q25" s="206"/>
      <c r="R25" s="206"/>
      <c r="S25" s="206"/>
      <c r="T25" s="206"/>
      <c r="U25" s="206"/>
      <c r="V25" s="206"/>
      <c r="W25" s="206"/>
      <c r="X25" s="206"/>
      <c r="Y25" s="206"/>
      <c r="Z25" s="206"/>
      <c r="AA25" s="206"/>
      <c r="AB25" s="206"/>
    </row>
    <row r="26" spans="2:28" x14ac:dyDescent="0.3">
      <c r="B26" s="199" t="s">
        <v>236</v>
      </c>
      <c r="C26" s="199"/>
      <c r="D26" s="199"/>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row>
    <row r="27" spans="2:28" x14ac:dyDescent="0.3">
      <c r="B27" s="198" t="s">
        <v>313</v>
      </c>
      <c r="C27" s="177">
        <f>SUM(D27:AB27)</f>
        <v>0</v>
      </c>
      <c r="D27" s="203">
        <f t="shared" ref="D27:AB27" si="5">D8</f>
        <v>0</v>
      </c>
      <c r="E27" s="203">
        <f t="shared" si="5"/>
        <v>0</v>
      </c>
      <c r="F27" s="203">
        <f t="shared" si="5"/>
        <v>0</v>
      </c>
      <c r="G27" s="203">
        <f t="shared" si="5"/>
        <v>0</v>
      </c>
      <c r="H27" s="203">
        <f t="shared" si="5"/>
        <v>0</v>
      </c>
      <c r="I27" s="203">
        <f t="shared" si="5"/>
        <v>0</v>
      </c>
      <c r="J27" s="203">
        <f t="shared" si="5"/>
        <v>0</v>
      </c>
      <c r="K27" s="203">
        <f t="shared" si="5"/>
        <v>0</v>
      </c>
      <c r="L27" s="203">
        <f t="shared" si="5"/>
        <v>0</v>
      </c>
      <c r="M27" s="203">
        <f t="shared" si="5"/>
        <v>0</v>
      </c>
      <c r="N27" s="203">
        <f t="shared" si="5"/>
        <v>0</v>
      </c>
      <c r="O27" s="203">
        <f t="shared" si="5"/>
        <v>0</v>
      </c>
      <c r="P27" s="203">
        <f t="shared" si="5"/>
        <v>0</v>
      </c>
      <c r="Q27" s="203">
        <f t="shared" si="5"/>
        <v>0</v>
      </c>
      <c r="R27" s="203">
        <f t="shared" si="5"/>
        <v>0</v>
      </c>
      <c r="S27" s="203">
        <f t="shared" si="5"/>
        <v>0</v>
      </c>
      <c r="T27" s="203">
        <f t="shared" si="5"/>
        <v>0</v>
      </c>
      <c r="U27" s="203">
        <f t="shared" si="5"/>
        <v>0</v>
      </c>
      <c r="V27" s="203">
        <f t="shared" si="5"/>
        <v>0</v>
      </c>
      <c r="W27" s="203">
        <f t="shared" si="5"/>
        <v>0</v>
      </c>
      <c r="X27" s="203">
        <f t="shared" si="5"/>
        <v>0</v>
      </c>
      <c r="Y27" s="203">
        <f t="shared" si="5"/>
        <v>0</v>
      </c>
      <c r="Z27" s="203">
        <f t="shared" si="5"/>
        <v>0</v>
      </c>
      <c r="AA27" s="203">
        <f t="shared" si="5"/>
        <v>0</v>
      </c>
      <c r="AB27" s="203">
        <f t="shared" si="5"/>
        <v>0</v>
      </c>
    </row>
    <row r="28" spans="2:28" x14ac:dyDescent="0.3">
      <c r="B28" s="194" t="s">
        <v>315</v>
      </c>
      <c r="C28" s="176">
        <f>SUM(D28:AB28)</f>
        <v>-5779402.0199999958</v>
      </c>
      <c r="D28" s="203">
        <f t="shared" ref="D28:AB28" si="6">D9</f>
        <v>0</v>
      </c>
      <c r="E28" s="203">
        <f t="shared" si="6"/>
        <v>0</v>
      </c>
      <c r="F28" s="203">
        <f t="shared" si="6"/>
        <v>0</v>
      </c>
      <c r="G28" s="203">
        <f t="shared" si="6"/>
        <v>0</v>
      </c>
      <c r="H28" s="203">
        <f t="shared" si="6"/>
        <v>-164280.73527777777</v>
      </c>
      <c r="I28" s="203">
        <f t="shared" si="6"/>
        <v>-175373.62374999997</v>
      </c>
      <c r="J28" s="203">
        <f t="shared" si="6"/>
        <v>-186466.51222222217</v>
      </c>
      <c r="K28" s="203">
        <f t="shared" si="6"/>
        <v>-197559.40069444437</v>
      </c>
      <c r="L28" s="203">
        <f t="shared" si="6"/>
        <v>-208652.28916666657</v>
      </c>
      <c r="M28" s="203">
        <f t="shared" si="6"/>
        <v>-219745.17763888877</v>
      </c>
      <c r="N28" s="203">
        <f t="shared" si="6"/>
        <v>-230838.06611111097</v>
      </c>
      <c r="O28" s="203">
        <f t="shared" si="6"/>
        <v>-241930.95458333316</v>
      </c>
      <c r="P28" s="203">
        <f t="shared" si="6"/>
        <v>-253023.84305555536</v>
      </c>
      <c r="Q28" s="203">
        <f t="shared" si="6"/>
        <v>-264116.73152777756</v>
      </c>
      <c r="R28" s="203">
        <f t="shared" si="6"/>
        <v>-275209.61999999976</v>
      </c>
      <c r="S28" s="203">
        <f t="shared" si="6"/>
        <v>-286302.50847222196</v>
      </c>
      <c r="T28" s="203">
        <f t="shared" si="6"/>
        <v>-297395.39694444416</v>
      </c>
      <c r="U28" s="203">
        <f t="shared" si="6"/>
        <v>-308488.28541666636</v>
      </c>
      <c r="V28" s="203">
        <f t="shared" si="6"/>
        <v>-319581.17388888856</v>
      </c>
      <c r="W28" s="203">
        <f t="shared" si="6"/>
        <v>-330674.06236111076</v>
      </c>
      <c r="X28" s="203">
        <f t="shared" si="6"/>
        <v>-341766.95083333296</v>
      </c>
      <c r="Y28" s="203">
        <f t="shared" si="6"/>
        <v>-352859.83930555516</v>
      </c>
      <c r="Z28" s="203">
        <f t="shared" si="6"/>
        <v>-363952.72777777736</v>
      </c>
      <c r="AA28" s="203">
        <f t="shared" si="6"/>
        <v>-375045.61624999956</v>
      </c>
      <c r="AB28" s="203">
        <f t="shared" si="6"/>
        <v>-386138.50472222199</v>
      </c>
    </row>
    <row r="29" spans="2:28" x14ac:dyDescent="0.3">
      <c r="B29" s="199" t="s">
        <v>235</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row>
    <row r="30" spans="2:28" x14ac:dyDescent="0.3">
      <c r="B30" s="194" t="s">
        <v>244</v>
      </c>
      <c r="C30" s="195">
        <f>SUM(D30:AB30)</f>
        <v>65897956.329539813</v>
      </c>
      <c r="D30" s="204">
        <f t="shared" ref="D30:AB30" si="7">D11/((1+$E$25)^D$5)</f>
        <v>0</v>
      </c>
      <c r="E30" s="204">
        <f t="shared" si="7"/>
        <v>0</v>
      </c>
      <c r="F30" s="204">
        <f t="shared" si="7"/>
        <v>0</v>
      </c>
      <c r="G30" s="204">
        <f t="shared" si="7"/>
        <v>0</v>
      </c>
      <c r="H30" s="204">
        <f t="shared" si="7"/>
        <v>3760415.1441450361</v>
      </c>
      <c r="I30" s="204">
        <f t="shared" si="7"/>
        <v>3750956.8109650607</v>
      </c>
      <c r="J30" s="204">
        <f t="shared" si="7"/>
        <v>3726642.004821552</v>
      </c>
      <c r="K30" s="204">
        <f t="shared" si="7"/>
        <v>3689455.0435435926</v>
      </c>
      <c r="L30" s="204">
        <f t="shared" si="7"/>
        <v>3641184.1980624828</v>
      </c>
      <c r="M30" s="204">
        <f t="shared" si="7"/>
        <v>3583438.8508255049</v>
      </c>
      <c r="N30" s="204">
        <f t="shared" si="7"/>
        <v>3517665.2482348657</v>
      </c>
      <c r="O30" s="204">
        <f t="shared" si="7"/>
        <v>3445160.9576356951</v>
      </c>
      <c r="P30" s="204">
        <f t="shared" si="7"/>
        <v>3367088.1309332899</v>
      </c>
      <c r="Q30" s="204">
        <f t="shared" si="7"/>
        <v>3284485.6691078208</v>
      </c>
      <c r="R30" s="204">
        <f t="shared" si="7"/>
        <v>3198280.3746680464</v>
      </c>
      <c r="S30" s="204">
        <f t="shared" si="7"/>
        <v>3109297.1724009067</v>
      </c>
      <c r="T30" s="204">
        <f t="shared" si="7"/>
        <v>3018268.4725914015</v>
      </c>
      <c r="U30" s="204">
        <f t="shared" si="7"/>
        <v>2925842.7451696144</v>
      </c>
      <c r="V30" s="204">
        <f t="shared" si="7"/>
        <v>2832592.367954907</v>
      </c>
      <c r="W30" s="204">
        <f t="shared" si="7"/>
        <v>2739020.8072791393</v>
      </c>
      <c r="X30" s="204">
        <f t="shared" si="7"/>
        <v>2645569.1847519008</v>
      </c>
      <c r="Y30" s="204">
        <f t="shared" si="7"/>
        <v>2552622.2797536277</v>
      </c>
      <c r="Z30" s="204">
        <f t="shared" si="7"/>
        <v>2460514.0133818346</v>
      </c>
      <c r="AA30" s="204">
        <f t="shared" si="7"/>
        <v>2369532.4560079467</v>
      </c>
      <c r="AB30" s="204">
        <f t="shared" si="7"/>
        <v>2279924.3973055924</v>
      </c>
    </row>
    <row r="31" spans="2:28" x14ac:dyDescent="0.3">
      <c r="B31" s="198" t="s">
        <v>238</v>
      </c>
      <c r="C31" s="201">
        <f>SUM(D31:AB31)</f>
        <v>12982835.047362542</v>
      </c>
      <c r="D31" s="204">
        <f t="shared" ref="D31:AB31" si="8">D12/((1+$E$25)^D$5)</f>
        <v>0</v>
      </c>
      <c r="E31" s="204">
        <f t="shared" si="8"/>
        <v>0</v>
      </c>
      <c r="F31" s="204">
        <f t="shared" si="8"/>
        <v>0</v>
      </c>
      <c r="G31" s="204">
        <f t="shared" si="8"/>
        <v>0</v>
      </c>
      <c r="H31" s="204">
        <f t="shared" si="8"/>
        <v>721428.66024147742</v>
      </c>
      <c r="I31" s="204">
        <f t="shared" si="8"/>
        <v>723225.35669093812</v>
      </c>
      <c r="J31" s="204">
        <f t="shared" si="8"/>
        <v>721699.36507741304</v>
      </c>
      <c r="K31" s="204">
        <f t="shared" si="8"/>
        <v>717277.74004255887</v>
      </c>
      <c r="L31" s="204">
        <f t="shared" si="8"/>
        <v>710345.880525516</v>
      </c>
      <c r="M31" s="204">
        <f t="shared" si="8"/>
        <v>701251.1523120316</v>
      </c>
      <c r="N31" s="204">
        <f t="shared" si="8"/>
        <v>690306.21488534543</v>
      </c>
      <c r="O31" s="204">
        <f t="shared" si="8"/>
        <v>677792.07576435257</v>
      </c>
      <c r="P31" s="204">
        <f t="shared" si="8"/>
        <v>663960.89374650142</v>
      </c>
      <c r="Q31" s="204">
        <f t="shared" si="8"/>
        <v>649038.5508368942</v>
      </c>
      <c r="R31" s="204">
        <f t="shared" si="8"/>
        <v>633227.01113149815</v>
      </c>
      <c r="S31" s="204">
        <f t="shared" si="8"/>
        <v>616706.48352215206</v>
      </c>
      <c r="T31" s="204">
        <f t="shared" si="8"/>
        <v>599637.40379588376</v>
      </c>
      <c r="U31" s="204">
        <f t="shared" si="8"/>
        <v>582162.2505031348</v>
      </c>
      <c r="V31" s="204">
        <f t="shared" si="8"/>
        <v>564407.20786166901</v>
      </c>
      <c r="W31" s="204">
        <f t="shared" si="8"/>
        <v>546483.68793854199</v>
      </c>
      <c r="X31" s="204">
        <f t="shared" si="8"/>
        <v>528489.72340537247</v>
      </c>
      <c r="Y31" s="204">
        <f t="shared" si="8"/>
        <v>510511.24128653598</v>
      </c>
      <c r="Z31" s="204">
        <f t="shared" si="8"/>
        <v>492623.22731052019</v>
      </c>
      <c r="AA31" s="204">
        <f t="shared" si="8"/>
        <v>474890.78972659376</v>
      </c>
      <c r="AB31" s="204">
        <f t="shared" si="8"/>
        <v>457370.13075761264</v>
      </c>
    </row>
    <row r="32" spans="2:28" x14ac:dyDescent="0.3">
      <c r="B32" s="194" t="s">
        <v>239</v>
      </c>
      <c r="C32" s="195">
        <f>SUM(E32:AB32)</f>
        <v>17718014.678512871</v>
      </c>
      <c r="D32" s="204">
        <f t="shared" ref="D32:AB32" si="9">D13/((1+$E$25)^D$5)</f>
        <v>0</v>
      </c>
      <c r="E32" s="204">
        <f t="shared" si="9"/>
        <v>0</v>
      </c>
      <c r="F32" s="204">
        <f t="shared" si="9"/>
        <v>0</v>
      </c>
      <c r="G32" s="204">
        <f t="shared" si="9"/>
        <v>0</v>
      </c>
      <c r="H32" s="204">
        <f t="shared" si="9"/>
        <v>992824.54480786936</v>
      </c>
      <c r="I32" s="204">
        <f t="shared" si="9"/>
        <v>993718.04108503938</v>
      </c>
      <c r="J32" s="204">
        <f t="shared" si="9"/>
        <v>990245.49140895752</v>
      </c>
      <c r="K32" s="204">
        <f t="shared" si="9"/>
        <v>982974.33009881142</v>
      </c>
      <c r="L32" s="204">
        <f t="shared" si="9"/>
        <v>972416.43375185516</v>
      </c>
      <c r="M32" s="204">
        <f t="shared" si="9"/>
        <v>959032.96194441314</v>
      </c>
      <c r="N32" s="204">
        <f t="shared" si="9"/>
        <v>943238.80234884203</v>
      </c>
      <c r="O32" s="204">
        <f t="shared" si="9"/>
        <v>925406.65130763245</v>
      </c>
      <c r="P32" s="204">
        <f t="shared" si="9"/>
        <v>905870.75853741984</v>
      </c>
      <c r="Q32" s="204">
        <f t="shared" si="9"/>
        <v>884930.36244427075</v>
      </c>
      <c r="R32" s="204">
        <f t="shared" si="9"/>
        <v>862852.8405042534</v>
      </c>
      <c r="S32" s="204">
        <f t="shared" si="9"/>
        <v>839876.59728782531</v>
      </c>
      <c r="T32" s="204">
        <f t="shared" si="9"/>
        <v>816213.7109718693</v>
      </c>
      <c r="U32" s="204">
        <f t="shared" si="9"/>
        <v>792052.35757880611</v>
      </c>
      <c r="V32" s="204">
        <f t="shared" si="9"/>
        <v>767559.03069855494</v>
      </c>
      <c r="W32" s="204">
        <f t="shared" si="9"/>
        <v>742880.57307721302</v>
      </c>
      <c r="X32" s="204">
        <f t="shared" si="9"/>
        <v>718146.03518794756</v>
      </c>
      <c r="Y32" s="204">
        <f t="shared" si="9"/>
        <v>693468.37472704577</v>
      </c>
      <c r="Z32" s="204">
        <f t="shared" si="9"/>
        <v>668946.00989425322</v>
      </c>
      <c r="AA32" s="204">
        <f t="shared" si="9"/>
        <v>644664.23831483617</v>
      </c>
      <c r="AB32" s="204">
        <f t="shared" si="9"/>
        <v>620696.53253515298</v>
      </c>
    </row>
    <row r="33" spans="2:28" x14ac:dyDescent="0.3">
      <c r="B33" s="198" t="s">
        <v>240</v>
      </c>
      <c r="C33" s="201">
        <f>SUM(E33:AB33)</f>
        <v>35079786.358630687</v>
      </c>
      <c r="D33" s="204">
        <f t="shared" ref="D33:AB33" si="10">D14/((1+$E$25)^D$5)</f>
        <v>0</v>
      </c>
      <c r="E33" s="204">
        <f t="shared" si="10"/>
        <v>0</v>
      </c>
      <c r="F33" s="204">
        <f t="shared" si="10"/>
        <v>0</v>
      </c>
      <c r="G33" s="204">
        <f t="shared" si="10"/>
        <v>0</v>
      </c>
      <c r="H33" s="204">
        <f t="shared" si="10"/>
        <v>2283397.7867601272</v>
      </c>
      <c r="I33" s="204">
        <f t="shared" si="10"/>
        <v>2225307.7388952957</v>
      </c>
      <c r="J33" s="204">
        <f t="shared" si="10"/>
        <v>2165045.658551672</v>
      </c>
      <c r="K33" s="204">
        <f t="shared" si="10"/>
        <v>2103144.3535726108</v>
      </c>
      <c r="L33" s="204">
        <f t="shared" si="10"/>
        <v>2040076.2145984103</v>
      </c>
      <c r="M33" s="204">
        <f t="shared" si="10"/>
        <v>1976258.8397833698</v>
      </c>
      <c r="N33" s="204">
        <f t="shared" si="10"/>
        <v>1912060.1821451667</v>
      </c>
      <c r="O33" s="204">
        <f t="shared" si="10"/>
        <v>1847803.2579328211</v>
      </c>
      <c r="P33" s="204">
        <f t="shared" si="10"/>
        <v>1783770.4514202764</v>
      </c>
      <c r="Q33" s="204">
        <f t="shared" si="10"/>
        <v>1720207.4487785571</v>
      </c>
      <c r="R33" s="204">
        <f t="shared" si="10"/>
        <v>1657326.8311344539</v>
      </c>
      <c r="S33" s="204">
        <f t="shared" si="10"/>
        <v>1595311.3545717273</v>
      </c>
      <c r="T33" s="204">
        <f t="shared" si="10"/>
        <v>1534316.9426579128</v>
      </c>
      <c r="U33" s="204">
        <f t="shared" si="10"/>
        <v>1474475.4150722399</v>
      </c>
      <c r="V33" s="204">
        <f t="shared" si="10"/>
        <v>1415896.9740559682</v>
      </c>
      <c r="W33" s="204">
        <f t="shared" si="10"/>
        <v>1358672.4686938024</v>
      </c>
      <c r="X33" s="204">
        <f t="shared" si="10"/>
        <v>1302875.4554535476</v>
      </c>
      <c r="Y33" s="204">
        <f t="shared" si="10"/>
        <v>1248564.071951081</v>
      </c>
      <c r="Z33" s="204">
        <f t="shared" si="10"/>
        <v>1195782.7395595822</v>
      </c>
      <c r="AA33" s="204">
        <f t="shared" si="10"/>
        <v>1144563.7092378561</v>
      </c>
      <c r="AB33" s="204">
        <f t="shared" si="10"/>
        <v>1094928.4638042024</v>
      </c>
    </row>
    <row r="34" spans="2:28" x14ac:dyDescent="0.3">
      <c r="B34" s="194" t="s">
        <v>241</v>
      </c>
      <c r="C34" s="195">
        <f>SUM(D34:AB34)</f>
        <v>9727265.8467444461</v>
      </c>
      <c r="D34" s="204">
        <f t="shared" ref="D34:AB34" si="11">D15/((1+$E$25)^D$5)</f>
        <v>0</v>
      </c>
      <c r="E34" s="204">
        <f t="shared" si="11"/>
        <v>0</v>
      </c>
      <c r="F34" s="204">
        <f t="shared" si="11"/>
        <v>0</v>
      </c>
      <c r="G34" s="204">
        <f t="shared" si="11"/>
        <v>0</v>
      </c>
      <c r="H34" s="204">
        <f t="shared" si="11"/>
        <v>502856.57223627128</v>
      </c>
      <c r="I34" s="204">
        <f t="shared" si="11"/>
        <v>504634.20754036872</v>
      </c>
      <c r="J34" s="204">
        <f t="shared" si="11"/>
        <v>507932.25937130692</v>
      </c>
      <c r="K34" s="204">
        <f t="shared" si="11"/>
        <v>512969.2191752806</v>
      </c>
      <c r="L34" s="204">
        <f t="shared" si="11"/>
        <v>512186.34390859195</v>
      </c>
      <c r="M34" s="204">
        <f t="shared" si="11"/>
        <v>509706.72551855701</v>
      </c>
      <c r="N34" s="204">
        <f t="shared" si="11"/>
        <v>505729.7950906934</v>
      </c>
      <c r="O34" s="204">
        <f t="shared" si="11"/>
        <v>500437.84764455463</v>
      </c>
      <c r="P34" s="204">
        <f t="shared" si="11"/>
        <v>493997.31975300732</v>
      </c>
      <c r="Q34" s="204">
        <f t="shared" si="11"/>
        <v>483069.99061893026</v>
      </c>
      <c r="R34" s="204">
        <f t="shared" si="11"/>
        <v>474861.10649526428</v>
      </c>
      <c r="S34" s="204">
        <f t="shared" si="11"/>
        <v>469235.19132714905</v>
      </c>
      <c r="T34" s="204">
        <f t="shared" si="11"/>
        <v>459587.55570130481</v>
      </c>
      <c r="U34" s="204">
        <f t="shared" si="11"/>
        <v>449424.59589463432</v>
      </c>
      <c r="V34" s="204">
        <f t="shared" si="11"/>
        <v>438839.94034924614</v>
      </c>
      <c r="W34" s="204">
        <f t="shared" si="11"/>
        <v>427918.15960507852</v>
      </c>
      <c r="X34" s="204">
        <f t="shared" si="11"/>
        <v>416735.48615772458</v>
      </c>
      <c r="Y34" s="204">
        <f t="shared" si="11"/>
        <v>405360.48312008701</v>
      </c>
      <c r="Z34" s="204">
        <f t="shared" si="11"/>
        <v>393854.66502918291</v>
      </c>
      <c r="AA34" s="204">
        <f t="shared" si="11"/>
        <v>384815.582014382</v>
      </c>
      <c r="AB34" s="204">
        <f t="shared" si="11"/>
        <v>373112.80019282951</v>
      </c>
    </row>
    <row r="35" spans="2:28" x14ac:dyDescent="0.3">
      <c r="B35" s="179" t="s">
        <v>246</v>
      </c>
      <c r="C35" s="215">
        <f>SUM(D35:AB35)</f>
        <v>141405858.26079035</v>
      </c>
      <c r="D35" s="204">
        <f t="shared" ref="D35" si="12">SUM(D30:D34)</f>
        <v>0</v>
      </c>
      <c r="E35" s="204">
        <f t="shared" ref="E35:AB35" si="13">SUM(E30:E34)</f>
        <v>0</v>
      </c>
      <c r="F35" s="204">
        <f t="shared" si="13"/>
        <v>0</v>
      </c>
      <c r="G35" s="204">
        <f t="shared" si="13"/>
        <v>0</v>
      </c>
      <c r="H35" s="204">
        <f t="shared" si="13"/>
        <v>8260922.7081907811</v>
      </c>
      <c r="I35" s="204">
        <f t="shared" si="13"/>
        <v>8197842.1551767029</v>
      </c>
      <c r="J35" s="204">
        <f t="shared" si="13"/>
        <v>8111564.7792309001</v>
      </c>
      <c r="K35" s="204">
        <f t="shared" si="13"/>
        <v>8005820.6864328552</v>
      </c>
      <c r="L35" s="204">
        <f t="shared" si="13"/>
        <v>7876209.0708468566</v>
      </c>
      <c r="M35" s="204">
        <f t="shared" si="13"/>
        <v>7729688.5303838765</v>
      </c>
      <c r="N35" s="204">
        <f t="shared" si="13"/>
        <v>7569000.2427049121</v>
      </c>
      <c r="O35" s="204">
        <f t="shared" si="13"/>
        <v>7396600.7902850555</v>
      </c>
      <c r="P35" s="204">
        <f t="shared" si="13"/>
        <v>7214687.5543904947</v>
      </c>
      <c r="Q35" s="204">
        <f t="shared" si="13"/>
        <v>7021732.0217864728</v>
      </c>
      <c r="R35" s="204">
        <f t="shared" si="13"/>
        <v>6826548.1639335165</v>
      </c>
      <c r="S35" s="204">
        <f t="shared" si="13"/>
        <v>6630426.7991097597</v>
      </c>
      <c r="T35" s="204">
        <f t="shared" si="13"/>
        <v>6428024.0857183728</v>
      </c>
      <c r="U35" s="204">
        <f t="shared" si="13"/>
        <v>6223957.3642184306</v>
      </c>
      <c r="V35" s="204">
        <f t="shared" si="13"/>
        <v>6019295.5209203456</v>
      </c>
      <c r="W35" s="204">
        <f t="shared" si="13"/>
        <v>5814975.6965937754</v>
      </c>
      <c r="X35" s="204">
        <f t="shared" si="13"/>
        <v>5611815.884956493</v>
      </c>
      <c r="Y35" s="204">
        <f t="shared" si="13"/>
        <v>5410526.4508383768</v>
      </c>
      <c r="Z35" s="204">
        <f t="shared" si="13"/>
        <v>5211720.655175373</v>
      </c>
      <c r="AA35" s="204">
        <f t="shared" si="13"/>
        <v>5018466.7753016148</v>
      </c>
      <c r="AB35" s="204">
        <f t="shared" si="13"/>
        <v>4826032.3245953899</v>
      </c>
    </row>
    <row r="36" spans="2:28" x14ac:dyDescent="0.3">
      <c r="B36" s="199" t="s">
        <v>243</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row>
    <row r="37" spans="2:28" x14ac:dyDescent="0.3">
      <c r="B37" s="194" t="s">
        <v>683</v>
      </c>
      <c r="C37" s="195">
        <f>SUM(D37:AB37)</f>
        <v>107278115.41717529</v>
      </c>
      <c r="D37" s="204">
        <f t="shared" ref="D37:AB37" si="14">D18/((1+$E$25)^D$5)</f>
        <v>8614617</v>
      </c>
      <c r="E37" s="204">
        <f t="shared" si="14"/>
        <v>865379.43925233639</v>
      </c>
      <c r="F37" s="204">
        <f t="shared" si="14"/>
        <v>34828164.614085659</v>
      </c>
      <c r="G37" s="204">
        <f t="shared" si="14"/>
        <v>32549686.555220239</v>
      </c>
      <c r="H37" s="204">
        <f t="shared" si="14"/>
        <v>30420267.808617048</v>
      </c>
      <c r="I37" s="204">
        <f t="shared" si="14"/>
        <v>0</v>
      </c>
      <c r="J37" s="204">
        <f t="shared" si="14"/>
        <v>0</v>
      </c>
      <c r="K37" s="204">
        <f t="shared" si="14"/>
        <v>0</v>
      </c>
      <c r="L37" s="204">
        <f t="shared" si="14"/>
        <v>0</v>
      </c>
      <c r="M37" s="204">
        <f t="shared" si="14"/>
        <v>0</v>
      </c>
      <c r="N37" s="204">
        <f t="shared" si="14"/>
        <v>0</v>
      </c>
      <c r="O37" s="204">
        <f t="shared" si="14"/>
        <v>0</v>
      </c>
      <c r="P37" s="204">
        <f t="shared" si="14"/>
        <v>0</v>
      </c>
      <c r="Q37" s="204">
        <f t="shared" si="14"/>
        <v>0</v>
      </c>
      <c r="R37" s="204">
        <f t="shared" si="14"/>
        <v>0</v>
      </c>
      <c r="S37" s="204">
        <f t="shared" si="14"/>
        <v>0</v>
      </c>
      <c r="T37" s="204">
        <f t="shared" si="14"/>
        <v>0</v>
      </c>
      <c r="U37" s="204">
        <f t="shared" si="14"/>
        <v>0</v>
      </c>
      <c r="V37" s="204">
        <f t="shared" si="14"/>
        <v>0</v>
      </c>
      <c r="W37" s="204">
        <f t="shared" si="14"/>
        <v>0</v>
      </c>
      <c r="X37" s="204">
        <f t="shared" si="14"/>
        <v>0</v>
      </c>
      <c r="Y37" s="204">
        <f t="shared" si="14"/>
        <v>0</v>
      </c>
      <c r="Z37" s="204">
        <f t="shared" si="14"/>
        <v>0</v>
      </c>
      <c r="AA37" s="204">
        <f t="shared" si="14"/>
        <v>0</v>
      </c>
      <c r="AB37" s="204">
        <f t="shared" si="14"/>
        <v>0</v>
      </c>
    </row>
    <row r="38" spans="2:28" x14ac:dyDescent="0.3">
      <c r="B38" s="198" t="s">
        <v>245</v>
      </c>
      <c r="C38" s="201">
        <f>SUM(D38:AB38)</f>
        <v>315479.98182423116</v>
      </c>
      <c r="D38" s="204">
        <f t="shared" ref="D38:AB38" si="15">D19/((1+$E$25)^D$5)</f>
        <v>0</v>
      </c>
      <c r="E38" s="204">
        <f t="shared" si="15"/>
        <v>0</v>
      </c>
      <c r="F38" s="204">
        <f t="shared" si="15"/>
        <v>0</v>
      </c>
      <c r="G38" s="204">
        <f t="shared" si="15"/>
        <v>0</v>
      </c>
      <c r="H38" s="204">
        <f t="shared" si="15"/>
        <v>0</v>
      </c>
      <c r="I38" s="204">
        <f t="shared" si="15"/>
        <v>27830.914483942342</v>
      </c>
      <c r="J38" s="204">
        <f t="shared" si="15"/>
        <v>26010.200452282566</v>
      </c>
      <c r="K38" s="204">
        <f t="shared" si="15"/>
        <v>24308.598553535106</v>
      </c>
      <c r="L38" s="204">
        <f t="shared" si="15"/>
        <v>22718.316405172995</v>
      </c>
      <c r="M38" s="204">
        <f t="shared" si="15"/>
        <v>21232.071406703733</v>
      </c>
      <c r="N38" s="204">
        <f t="shared" si="15"/>
        <v>19843.057389442743</v>
      </c>
      <c r="O38" s="204">
        <f t="shared" si="15"/>
        <v>18544.913448077325</v>
      </c>
      <c r="P38" s="204">
        <f t="shared" si="15"/>
        <v>17331.694811287223</v>
      </c>
      <c r="Q38" s="204">
        <f t="shared" si="15"/>
        <v>16197.845618025442</v>
      </c>
      <c r="R38" s="204">
        <f t="shared" si="15"/>
        <v>15138.173474790134</v>
      </c>
      <c r="S38" s="204">
        <f t="shared" si="15"/>
        <v>14147.825677373954</v>
      </c>
      <c r="T38" s="204">
        <f t="shared" si="15"/>
        <v>13222.266988199959</v>
      </c>
      <c r="U38" s="204">
        <f t="shared" si="15"/>
        <v>12357.258867476598</v>
      </c>
      <c r="V38" s="204">
        <f t="shared" si="15"/>
        <v>11548.84006306224</v>
      </c>
      <c r="W38" s="204">
        <f t="shared" si="15"/>
        <v>10793.308470151625</v>
      </c>
      <c r="X38" s="204">
        <f t="shared" si="15"/>
        <v>10087.204177711801</v>
      </c>
      <c r="Y38" s="204">
        <f t="shared" si="15"/>
        <v>9427.2936240297204</v>
      </c>
      <c r="Z38" s="204">
        <f t="shared" si="15"/>
        <v>8810.5547888128222</v>
      </c>
      <c r="AA38" s="204">
        <f t="shared" si="15"/>
        <v>8234.1633540306757</v>
      </c>
      <c r="AB38" s="204">
        <f t="shared" si="15"/>
        <v>7695.479770122126</v>
      </c>
    </row>
    <row r="39" spans="2:28" x14ac:dyDescent="0.3">
      <c r="B39" s="178" t="s">
        <v>247</v>
      </c>
      <c r="C39" s="202">
        <f>SUM(D39:AB39)</f>
        <v>107593595.39899953</v>
      </c>
      <c r="D39" s="204">
        <f t="shared" ref="D39:AB39" si="16">D20/((1+$E$25)^D$5)</f>
        <v>8614617</v>
      </c>
      <c r="E39" s="204">
        <f t="shared" si="16"/>
        <v>865379.43925233639</v>
      </c>
      <c r="F39" s="204">
        <f t="shared" si="16"/>
        <v>34828164.614085659</v>
      </c>
      <c r="G39" s="204">
        <f t="shared" si="16"/>
        <v>32549686.555220239</v>
      </c>
      <c r="H39" s="204">
        <f t="shared" si="16"/>
        <v>30420267.808617048</v>
      </c>
      <c r="I39" s="204">
        <f t="shared" si="16"/>
        <v>27830.914483942342</v>
      </c>
      <c r="J39" s="204">
        <f t="shared" si="16"/>
        <v>26010.200452282566</v>
      </c>
      <c r="K39" s="204">
        <f t="shared" si="16"/>
        <v>24308.598553535106</v>
      </c>
      <c r="L39" s="204">
        <f t="shared" si="16"/>
        <v>22718.316405172995</v>
      </c>
      <c r="M39" s="204">
        <f t="shared" si="16"/>
        <v>21232.071406703733</v>
      </c>
      <c r="N39" s="204">
        <f t="shared" si="16"/>
        <v>19843.057389442743</v>
      </c>
      <c r="O39" s="204">
        <f t="shared" si="16"/>
        <v>18544.913448077325</v>
      </c>
      <c r="P39" s="204">
        <f t="shared" si="16"/>
        <v>17331.694811287223</v>
      </c>
      <c r="Q39" s="204">
        <f t="shared" si="16"/>
        <v>16197.845618025442</v>
      </c>
      <c r="R39" s="204">
        <f t="shared" si="16"/>
        <v>15138.173474790134</v>
      </c>
      <c r="S39" s="204">
        <f t="shared" si="16"/>
        <v>14147.825677373954</v>
      </c>
      <c r="T39" s="204">
        <f t="shared" si="16"/>
        <v>13222.266988199959</v>
      </c>
      <c r="U39" s="204">
        <f t="shared" si="16"/>
        <v>12357.258867476598</v>
      </c>
      <c r="V39" s="204">
        <f t="shared" si="16"/>
        <v>11548.84006306224</v>
      </c>
      <c r="W39" s="204">
        <f t="shared" si="16"/>
        <v>10793.308470151625</v>
      </c>
      <c r="X39" s="204">
        <f t="shared" si="16"/>
        <v>10087.204177711801</v>
      </c>
      <c r="Y39" s="204">
        <f t="shared" si="16"/>
        <v>9427.2936240297204</v>
      </c>
      <c r="Z39" s="204">
        <f t="shared" si="16"/>
        <v>8810.5547888128222</v>
      </c>
      <c r="AA39" s="204">
        <f t="shared" si="16"/>
        <v>8234.1633540306757</v>
      </c>
      <c r="AB39" s="204">
        <f t="shared" si="16"/>
        <v>7695.479770122126</v>
      </c>
    </row>
    <row r="40" spans="2:28" x14ac:dyDescent="0.3">
      <c r="B40" s="199" t="s">
        <v>316</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row>
    <row r="41" spans="2:28" x14ac:dyDescent="0.3">
      <c r="B41" s="197" t="s">
        <v>248</v>
      </c>
      <c r="C41" s="210">
        <f>SUM(D41:AB41)</f>
        <v>33812262.861790821</v>
      </c>
      <c r="D41" s="204">
        <f t="shared" ref="D41:AB41" si="17">D35-D39</f>
        <v>-8614617</v>
      </c>
      <c r="E41" s="204">
        <f t="shared" si="17"/>
        <v>-865379.43925233639</v>
      </c>
      <c r="F41" s="204">
        <f t="shared" si="17"/>
        <v>-34828164.614085659</v>
      </c>
      <c r="G41" s="204">
        <f t="shared" si="17"/>
        <v>-32549686.555220239</v>
      </c>
      <c r="H41" s="204">
        <f t="shared" si="17"/>
        <v>-22159345.100426268</v>
      </c>
      <c r="I41" s="204">
        <f t="shared" si="17"/>
        <v>8170011.2406927608</v>
      </c>
      <c r="J41" s="204">
        <f t="shared" si="17"/>
        <v>8085554.5787786171</v>
      </c>
      <c r="K41" s="204">
        <f t="shared" si="17"/>
        <v>7981512.0878793197</v>
      </c>
      <c r="L41" s="204">
        <f t="shared" si="17"/>
        <v>7853490.7544416832</v>
      </c>
      <c r="M41" s="204">
        <f t="shared" si="17"/>
        <v>7708456.4589771731</v>
      </c>
      <c r="N41" s="204">
        <f t="shared" si="17"/>
        <v>7549157.1853154693</v>
      </c>
      <c r="O41" s="204">
        <f t="shared" si="17"/>
        <v>7378055.8768369779</v>
      </c>
      <c r="P41" s="204">
        <f t="shared" si="17"/>
        <v>7197355.8595792074</v>
      </c>
      <c r="Q41" s="204">
        <f t="shared" si="17"/>
        <v>7005534.1761684474</v>
      </c>
      <c r="R41" s="204">
        <f t="shared" si="17"/>
        <v>6811409.990458726</v>
      </c>
      <c r="S41" s="204">
        <f t="shared" si="17"/>
        <v>6616278.9734323854</v>
      </c>
      <c r="T41" s="204">
        <f t="shared" si="17"/>
        <v>6414801.8187301727</v>
      </c>
      <c r="U41" s="204">
        <f t="shared" si="17"/>
        <v>6211600.1053509545</v>
      </c>
      <c r="V41" s="204">
        <f t="shared" si="17"/>
        <v>6007746.6808572831</v>
      </c>
      <c r="W41" s="204">
        <f t="shared" si="17"/>
        <v>5804182.388123624</v>
      </c>
      <c r="X41" s="204">
        <f t="shared" si="17"/>
        <v>5601728.680778781</v>
      </c>
      <c r="Y41" s="204">
        <f t="shared" si="17"/>
        <v>5401099.1572143473</v>
      </c>
      <c r="Z41" s="204">
        <f t="shared" si="17"/>
        <v>5202910.10038656</v>
      </c>
      <c r="AA41" s="204">
        <f t="shared" si="17"/>
        <v>5010232.611947584</v>
      </c>
      <c r="AB41" s="204">
        <f t="shared" si="17"/>
        <v>4818336.8448252678</v>
      </c>
    </row>
    <row r="42" spans="2:28" x14ac:dyDescent="0.3">
      <c r="B42" s="197" t="s">
        <v>251</v>
      </c>
      <c r="C42" s="211">
        <f>C35/C39</f>
        <v>1.3142590665959399</v>
      </c>
      <c r="D42" s="211"/>
      <c r="E42" s="784"/>
      <c r="F42" s="784"/>
      <c r="G42" s="784"/>
      <c r="H42" s="784"/>
      <c r="I42" s="784"/>
      <c r="J42" s="784"/>
      <c r="K42" s="784"/>
      <c r="L42" s="784"/>
      <c r="M42" s="784"/>
      <c r="N42" s="784"/>
      <c r="O42" s="784"/>
      <c r="P42" s="784"/>
      <c r="Q42" s="784"/>
      <c r="R42" s="784"/>
      <c r="S42" s="784"/>
      <c r="T42" s="784"/>
      <c r="U42" s="784"/>
      <c r="V42" s="784"/>
      <c r="W42" s="784"/>
      <c r="X42" s="784"/>
      <c r="Y42" s="784"/>
      <c r="Z42" s="784"/>
      <c r="AA42" s="784"/>
      <c r="AB42" s="784"/>
    </row>
    <row r="43" spans="2:28" ht="15" thickBot="1" x14ac:dyDescent="0.35">
      <c r="C43" s="466"/>
      <c r="D43" s="466"/>
      <c r="E43" s="67"/>
      <c r="F43" s="67"/>
      <c r="G43" s="67"/>
      <c r="H43" s="67"/>
      <c r="I43" s="67"/>
      <c r="J43" s="67"/>
      <c r="K43" s="67"/>
      <c r="L43" s="67"/>
      <c r="M43" s="67"/>
      <c r="N43" s="67"/>
      <c r="O43" s="67"/>
      <c r="P43" s="67"/>
      <c r="Q43" s="67"/>
      <c r="R43" s="67"/>
      <c r="S43" s="67"/>
      <c r="T43" s="67"/>
      <c r="U43" s="67"/>
      <c r="V43" s="67"/>
      <c r="W43" s="67"/>
      <c r="X43" s="67"/>
      <c r="Y43" s="67"/>
      <c r="Z43" s="67"/>
      <c r="AA43" s="67"/>
      <c r="AB43" s="67"/>
    </row>
    <row r="44" spans="2:28" ht="15" thickBot="1" x14ac:dyDescent="0.35">
      <c r="B44" s="197" t="s">
        <v>255</v>
      </c>
      <c r="C44" s="187" t="s">
        <v>256</v>
      </c>
      <c r="D44" s="187"/>
      <c r="E44" s="205">
        <v>0.03</v>
      </c>
      <c r="F44" s="206"/>
      <c r="G44" s="206"/>
      <c r="H44" s="206"/>
      <c r="I44" s="206"/>
      <c r="J44" s="206"/>
      <c r="K44" s="206"/>
      <c r="L44" s="206"/>
      <c r="M44" s="206"/>
      <c r="N44" s="206"/>
      <c r="O44" s="206"/>
      <c r="P44" s="206"/>
      <c r="Q44" s="206"/>
      <c r="R44" s="206"/>
      <c r="S44" s="206"/>
      <c r="T44" s="206"/>
      <c r="U44" s="206"/>
      <c r="V44" s="206"/>
      <c r="W44" s="206"/>
      <c r="X44" s="206"/>
      <c r="Y44" s="206"/>
      <c r="Z44" s="206"/>
      <c r="AA44" s="206"/>
      <c r="AB44" s="206"/>
    </row>
    <row r="45" spans="2:28" x14ac:dyDescent="0.3">
      <c r="B45" s="199" t="s">
        <v>257</v>
      </c>
      <c r="C45" s="199"/>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row>
    <row r="46" spans="2:28" x14ac:dyDescent="0.3">
      <c r="B46" s="198" t="s">
        <v>313</v>
      </c>
      <c r="C46" s="177">
        <f>SUM(D46:AB46)</f>
        <v>0</v>
      </c>
      <c r="D46" s="203">
        <f t="shared" ref="D46:AB46" si="18">D8</f>
        <v>0</v>
      </c>
      <c r="E46" s="203">
        <f t="shared" si="18"/>
        <v>0</v>
      </c>
      <c r="F46" s="203">
        <f t="shared" si="18"/>
        <v>0</v>
      </c>
      <c r="G46" s="203">
        <f t="shared" si="18"/>
        <v>0</v>
      </c>
      <c r="H46" s="203">
        <f t="shared" si="18"/>
        <v>0</v>
      </c>
      <c r="I46" s="203">
        <f t="shared" si="18"/>
        <v>0</v>
      </c>
      <c r="J46" s="203">
        <f t="shared" si="18"/>
        <v>0</v>
      </c>
      <c r="K46" s="203">
        <f t="shared" si="18"/>
        <v>0</v>
      </c>
      <c r="L46" s="203">
        <f t="shared" si="18"/>
        <v>0</v>
      </c>
      <c r="M46" s="203">
        <f t="shared" si="18"/>
        <v>0</v>
      </c>
      <c r="N46" s="203">
        <f t="shared" si="18"/>
        <v>0</v>
      </c>
      <c r="O46" s="203">
        <f t="shared" si="18"/>
        <v>0</v>
      </c>
      <c r="P46" s="203">
        <f t="shared" si="18"/>
        <v>0</v>
      </c>
      <c r="Q46" s="203">
        <f t="shared" si="18"/>
        <v>0</v>
      </c>
      <c r="R46" s="203">
        <f t="shared" si="18"/>
        <v>0</v>
      </c>
      <c r="S46" s="203">
        <f t="shared" si="18"/>
        <v>0</v>
      </c>
      <c r="T46" s="203">
        <f t="shared" si="18"/>
        <v>0</v>
      </c>
      <c r="U46" s="203">
        <f t="shared" si="18"/>
        <v>0</v>
      </c>
      <c r="V46" s="203">
        <f t="shared" si="18"/>
        <v>0</v>
      </c>
      <c r="W46" s="203">
        <f t="shared" si="18"/>
        <v>0</v>
      </c>
      <c r="X46" s="203">
        <f t="shared" si="18"/>
        <v>0</v>
      </c>
      <c r="Y46" s="203">
        <f t="shared" si="18"/>
        <v>0</v>
      </c>
      <c r="Z46" s="203">
        <f t="shared" si="18"/>
        <v>0</v>
      </c>
      <c r="AA46" s="203">
        <f t="shared" si="18"/>
        <v>0</v>
      </c>
      <c r="AB46" s="203">
        <f t="shared" si="18"/>
        <v>0</v>
      </c>
    </row>
    <row r="47" spans="2:28" x14ac:dyDescent="0.3">
      <c r="B47" s="194" t="s">
        <v>315</v>
      </c>
      <c r="C47" s="176">
        <f>SUM(D47:AB47)</f>
        <v>-5779402.0199999958</v>
      </c>
      <c r="D47" s="203">
        <f t="shared" ref="D47:AB47" si="19">D9</f>
        <v>0</v>
      </c>
      <c r="E47" s="203">
        <f t="shared" si="19"/>
        <v>0</v>
      </c>
      <c r="F47" s="203">
        <f t="shared" si="19"/>
        <v>0</v>
      </c>
      <c r="G47" s="203">
        <f t="shared" si="19"/>
        <v>0</v>
      </c>
      <c r="H47" s="203">
        <f t="shared" si="19"/>
        <v>-164280.73527777777</v>
      </c>
      <c r="I47" s="203">
        <f t="shared" si="19"/>
        <v>-175373.62374999997</v>
      </c>
      <c r="J47" s="203">
        <f t="shared" si="19"/>
        <v>-186466.51222222217</v>
      </c>
      <c r="K47" s="203">
        <f t="shared" si="19"/>
        <v>-197559.40069444437</v>
      </c>
      <c r="L47" s="203">
        <f t="shared" si="19"/>
        <v>-208652.28916666657</v>
      </c>
      <c r="M47" s="203">
        <f t="shared" si="19"/>
        <v>-219745.17763888877</v>
      </c>
      <c r="N47" s="203">
        <f t="shared" si="19"/>
        <v>-230838.06611111097</v>
      </c>
      <c r="O47" s="203">
        <f t="shared" si="19"/>
        <v>-241930.95458333316</v>
      </c>
      <c r="P47" s="203">
        <f t="shared" si="19"/>
        <v>-253023.84305555536</v>
      </c>
      <c r="Q47" s="203">
        <f t="shared" si="19"/>
        <v>-264116.73152777756</v>
      </c>
      <c r="R47" s="203">
        <f t="shared" si="19"/>
        <v>-275209.61999999976</v>
      </c>
      <c r="S47" s="203">
        <f t="shared" si="19"/>
        <v>-286302.50847222196</v>
      </c>
      <c r="T47" s="203">
        <f t="shared" si="19"/>
        <v>-297395.39694444416</v>
      </c>
      <c r="U47" s="203">
        <f t="shared" si="19"/>
        <v>-308488.28541666636</v>
      </c>
      <c r="V47" s="203">
        <f t="shared" si="19"/>
        <v>-319581.17388888856</v>
      </c>
      <c r="W47" s="203">
        <f t="shared" si="19"/>
        <v>-330674.06236111076</v>
      </c>
      <c r="X47" s="203">
        <f t="shared" si="19"/>
        <v>-341766.95083333296</v>
      </c>
      <c r="Y47" s="203">
        <f t="shared" si="19"/>
        <v>-352859.83930555516</v>
      </c>
      <c r="Z47" s="203">
        <f t="shared" si="19"/>
        <v>-363952.72777777736</v>
      </c>
      <c r="AA47" s="203">
        <f t="shared" si="19"/>
        <v>-375045.61624999956</v>
      </c>
      <c r="AB47" s="203">
        <f t="shared" si="19"/>
        <v>-386138.50472222199</v>
      </c>
    </row>
    <row r="48" spans="2:28" x14ac:dyDescent="0.3">
      <c r="B48" s="199" t="s">
        <v>235</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row>
    <row r="49" spans="2:28" x14ac:dyDescent="0.3">
      <c r="B49" s="194" t="s">
        <v>244</v>
      </c>
      <c r="C49" s="195">
        <f t="shared" ref="C49:C54" si="20">SUM(D49:AB49)</f>
        <v>111297823.46294008</v>
      </c>
      <c r="D49" s="204">
        <f t="shared" ref="D49:AB49" si="21">D11/((1+$E$44))^D$5</f>
        <v>0</v>
      </c>
      <c r="E49" s="204">
        <f t="shared" si="21"/>
        <v>0</v>
      </c>
      <c r="F49" s="204">
        <f t="shared" si="21"/>
        <v>0</v>
      </c>
      <c r="G49" s="204">
        <f t="shared" si="21"/>
        <v>0</v>
      </c>
      <c r="H49" s="204">
        <f t="shared" si="21"/>
        <v>4379474.5301806107</v>
      </c>
      <c r="I49" s="204">
        <f t="shared" si="21"/>
        <v>4538108.0139971869</v>
      </c>
      <c r="J49" s="204">
        <f t="shared" si="21"/>
        <v>4683785.4450500449</v>
      </c>
      <c r="K49" s="204">
        <f t="shared" si="21"/>
        <v>4817126.9703137958</v>
      </c>
      <c r="L49" s="204">
        <f t="shared" si="21"/>
        <v>4938727.6027866667</v>
      </c>
      <c r="M49" s="204">
        <f t="shared" si="21"/>
        <v>5049158.1595124304</v>
      </c>
      <c r="N49" s="204">
        <f t="shared" si="21"/>
        <v>5148966.1662823455</v>
      </c>
      <c r="O49" s="204">
        <f t="shared" si="21"/>
        <v>5238676.730162316</v>
      </c>
      <c r="P49" s="204">
        <f t="shared" si="21"/>
        <v>5318793.3809520472</v>
      </c>
      <c r="Q49" s="204">
        <f t="shared" si="21"/>
        <v>5389798.8826457728</v>
      </c>
      <c r="R49" s="204">
        <f t="shared" si="21"/>
        <v>5452156.0159282144</v>
      </c>
      <c r="S49" s="204">
        <f t="shared" si="21"/>
        <v>5506308.3327046381</v>
      </c>
      <c r="T49" s="204">
        <f t="shared" si="21"/>
        <v>5552680.883630258</v>
      </c>
      <c r="U49" s="204">
        <f t="shared" si="21"/>
        <v>5591680.9195717722</v>
      </c>
      <c r="V49" s="204">
        <f t="shared" si="21"/>
        <v>5623698.5679023387</v>
      </c>
      <c r="W49" s="204">
        <f t="shared" si="21"/>
        <v>5649107.48450094</v>
      </c>
      <c r="X49" s="204">
        <f t="shared" si="21"/>
        <v>5668265.4822976692</v>
      </c>
      <c r="Y49" s="204">
        <f t="shared" si="21"/>
        <v>5681515.1371781109</v>
      </c>
      <c r="Z49" s="204">
        <f t="shared" si="21"/>
        <v>5689184.3720324626</v>
      </c>
      <c r="AA49" s="204">
        <f t="shared" si="21"/>
        <v>5691587.0197085133</v>
      </c>
      <c r="AB49" s="204">
        <f t="shared" si="21"/>
        <v>5689023.3656019205</v>
      </c>
    </row>
    <row r="50" spans="2:28" x14ac:dyDescent="0.3">
      <c r="B50" s="198" t="s">
        <v>238</v>
      </c>
      <c r="C50" s="201">
        <f t="shared" si="20"/>
        <v>21989847.142007586</v>
      </c>
      <c r="D50" s="204">
        <f t="shared" ref="D50:AB50" si="22">D12/((1+$E$44))^D$5</f>
        <v>0</v>
      </c>
      <c r="E50" s="204">
        <f t="shared" si="22"/>
        <v>0</v>
      </c>
      <c r="F50" s="204">
        <f t="shared" si="22"/>
        <v>0</v>
      </c>
      <c r="G50" s="204">
        <f t="shared" si="22"/>
        <v>0</v>
      </c>
      <c r="H50" s="204">
        <f t="shared" si="22"/>
        <v>840194.05351804779</v>
      </c>
      <c r="I50" s="204">
        <f t="shared" si="22"/>
        <v>874996.68818652572</v>
      </c>
      <c r="J50" s="204">
        <f t="shared" si="22"/>
        <v>907059.21778319811</v>
      </c>
      <c r="K50" s="204">
        <f t="shared" si="22"/>
        <v>936511.73574027943</v>
      </c>
      <c r="L50" s="204">
        <f t="shared" si="22"/>
        <v>963479.08176244493</v>
      </c>
      <c r="M50" s="204">
        <f t="shared" si="22"/>
        <v>988081.03750622761</v>
      </c>
      <c r="N50" s="204">
        <f t="shared" si="22"/>
        <v>1010432.5153175456</v>
      </c>
      <c r="O50" s="204">
        <f t="shared" si="22"/>
        <v>1030643.740265733</v>
      </c>
      <c r="P50" s="204">
        <f t="shared" si="22"/>
        <v>1048820.4257044627</v>
      </c>
      <c r="Q50" s="204">
        <f t="shared" si="22"/>
        <v>1065063.942582204</v>
      </c>
      <c r="R50" s="204">
        <f t="shared" si="22"/>
        <v>1079471.4827173883</v>
      </c>
      <c r="S50" s="204">
        <f t="shared" si="22"/>
        <v>1092136.2162462212</v>
      </c>
      <c r="T50" s="204">
        <f t="shared" si="22"/>
        <v>1103147.4434440832</v>
      </c>
      <c r="U50" s="204">
        <f t="shared" si="22"/>
        <v>1112590.7411147039</v>
      </c>
      <c r="V50" s="204">
        <f t="shared" si="22"/>
        <v>1120548.1037347605</v>
      </c>
      <c r="W50" s="204">
        <f t="shared" si="22"/>
        <v>1127098.0795352082</v>
      </c>
      <c r="X50" s="204">
        <f t="shared" si="22"/>
        <v>1132315.9016945693</v>
      </c>
      <c r="Y50" s="204">
        <f t="shared" si="22"/>
        <v>1136273.6148134647</v>
      </c>
      <c r="Z50" s="204">
        <f t="shared" si="22"/>
        <v>1139040.1968339784</v>
      </c>
      <c r="AA50" s="204">
        <f t="shared" si="22"/>
        <v>1140681.6765619104</v>
      </c>
      <c r="AB50" s="204">
        <f t="shared" si="22"/>
        <v>1141261.2469446298</v>
      </c>
    </row>
    <row r="51" spans="2:28" x14ac:dyDescent="0.3">
      <c r="B51" s="194" t="s">
        <v>239</v>
      </c>
      <c r="C51" s="195">
        <f t="shared" si="20"/>
        <v>29983467.575377386</v>
      </c>
      <c r="D51" s="204">
        <f t="shared" ref="D51:AB51" si="23">D13/((1+$E$44))^D$5</f>
        <v>0</v>
      </c>
      <c r="E51" s="204">
        <f t="shared" si="23"/>
        <v>0</v>
      </c>
      <c r="F51" s="204">
        <f t="shared" si="23"/>
        <v>0</v>
      </c>
      <c r="G51" s="204">
        <f t="shared" si="23"/>
        <v>0</v>
      </c>
      <c r="H51" s="204">
        <f t="shared" si="23"/>
        <v>1156268.5608513553</v>
      </c>
      <c r="I51" s="204">
        <f t="shared" si="23"/>
        <v>1202253.1938301246</v>
      </c>
      <c r="J51" s="204">
        <f t="shared" si="23"/>
        <v>1244578.205710907</v>
      </c>
      <c r="K51" s="204">
        <f t="shared" si="23"/>
        <v>1283417.7678709999</v>
      </c>
      <c r="L51" s="204">
        <f t="shared" si="23"/>
        <v>1318939.0103717153</v>
      </c>
      <c r="M51" s="204">
        <f t="shared" si="23"/>
        <v>1351302.2843762219</v>
      </c>
      <c r="N51" s="204">
        <f t="shared" si="23"/>
        <v>1380661.4152543142</v>
      </c>
      <c r="O51" s="204">
        <f t="shared" si="23"/>
        <v>1407163.9466940002</v>
      </c>
      <c r="P51" s="204">
        <f t="shared" si="23"/>
        <v>1430951.3761290668</v>
      </c>
      <c r="Q51" s="204">
        <f t="shared" si="23"/>
        <v>1452159.3817813904</v>
      </c>
      <c r="R51" s="204">
        <f t="shared" si="23"/>
        <v>1470918.0416067461</v>
      </c>
      <c r="S51" s="204">
        <f t="shared" si="23"/>
        <v>1487352.0444231378</v>
      </c>
      <c r="T51" s="204">
        <f t="shared" si="23"/>
        <v>1501580.893491298</v>
      </c>
      <c r="U51" s="204">
        <f t="shared" si="23"/>
        <v>1513719.1028079332</v>
      </c>
      <c r="V51" s="204">
        <f t="shared" si="23"/>
        <v>1523876.3863635063</v>
      </c>
      <c r="W51" s="204">
        <f t="shared" si="23"/>
        <v>1532157.8406078701</v>
      </c>
      <c r="X51" s="204">
        <f t="shared" si="23"/>
        <v>1538664.1203588524</v>
      </c>
      <c r="Y51" s="204">
        <f t="shared" si="23"/>
        <v>1543491.6083809654</v>
      </c>
      <c r="Z51" s="204">
        <f t="shared" si="23"/>
        <v>1546732.5788537432</v>
      </c>
      <c r="AA51" s="204">
        <f t="shared" si="23"/>
        <v>1548475.35494179</v>
      </c>
      <c r="AB51" s="204">
        <f t="shared" si="23"/>
        <v>1548804.460671454</v>
      </c>
    </row>
    <row r="52" spans="2:28" x14ac:dyDescent="0.3">
      <c r="B52" s="198" t="s">
        <v>240</v>
      </c>
      <c r="C52" s="201">
        <f t="shared" si="20"/>
        <v>58340421.139785029</v>
      </c>
      <c r="D52" s="204">
        <f t="shared" ref="D52:AB52" si="24">D14/((1+$E$44))^D$5</f>
        <v>0</v>
      </c>
      <c r="E52" s="204">
        <f t="shared" si="24"/>
        <v>0</v>
      </c>
      <c r="F52" s="204">
        <f t="shared" si="24"/>
        <v>0</v>
      </c>
      <c r="G52" s="204">
        <f t="shared" si="24"/>
        <v>0</v>
      </c>
      <c r="H52" s="204">
        <f t="shared" si="24"/>
        <v>2659302.7806934761</v>
      </c>
      <c r="I52" s="204">
        <f t="shared" si="24"/>
        <v>2692296.2306496063</v>
      </c>
      <c r="J52" s="204">
        <f t="shared" si="24"/>
        <v>2721111.7489345982</v>
      </c>
      <c r="K52" s="204">
        <f t="shared" si="24"/>
        <v>2745964.7206670437</v>
      </c>
      <c r="L52" s="204">
        <f t="shared" si="24"/>
        <v>2767061.5285507757</v>
      </c>
      <c r="M52" s="204">
        <f t="shared" si="24"/>
        <v>2784599.8945683334</v>
      </c>
      <c r="N52" s="204">
        <f t="shared" si="24"/>
        <v>2798769.2094070991</v>
      </c>
      <c r="O52" s="204">
        <f t="shared" si="24"/>
        <v>2809750.8500426905</v>
      </c>
      <c r="P52" s="204">
        <f t="shared" si="24"/>
        <v>2817718.4858901403</v>
      </c>
      <c r="Q52" s="204">
        <f t="shared" si="24"/>
        <v>2822838.3739193119</v>
      </c>
      <c r="R52" s="204">
        <f t="shared" si="24"/>
        <v>2825269.6431177692</v>
      </c>
      <c r="S52" s="204">
        <f t="shared" si="24"/>
        <v>2825164.5686712116</v>
      </c>
      <c r="T52" s="204">
        <f t="shared" si="24"/>
        <v>2822668.8362191813</v>
      </c>
      <c r="U52" s="204">
        <f t="shared" si="24"/>
        <v>2817921.7965315334</v>
      </c>
      <c r="V52" s="204">
        <f t="shared" si="24"/>
        <v>2811056.710939554</v>
      </c>
      <c r="W52" s="204">
        <f t="shared" si="24"/>
        <v>2802200.9878442385</v>
      </c>
      <c r="X52" s="204">
        <f t="shared" si="24"/>
        <v>2791476.4106132272</v>
      </c>
      <c r="Y52" s="204">
        <f t="shared" si="24"/>
        <v>2778999.3571675145</v>
      </c>
      <c r="Z52" s="204">
        <f t="shared" si="24"/>
        <v>2764881.0115485461</v>
      </c>
      <c r="AA52" s="204">
        <f t="shared" si="24"/>
        <v>2749227.5677467077</v>
      </c>
      <c r="AB52" s="204">
        <f t="shared" si="24"/>
        <v>2732140.4260624717</v>
      </c>
    </row>
    <row r="53" spans="2:28" x14ac:dyDescent="0.3">
      <c r="B53" s="194" t="s">
        <v>241</v>
      </c>
      <c r="C53" s="195">
        <f t="shared" si="20"/>
        <v>16651305.888753347</v>
      </c>
      <c r="D53" s="204">
        <f t="shared" ref="D53:AB53" si="25">D15/((1+$E$44))^D$5</f>
        <v>0</v>
      </c>
      <c r="E53" s="204">
        <f t="shared" si="25"/>
        <v>0</v>
      </c>
      <c r="F53" s="204">
        <f t="shared" si="25"/>
        <v>0</v>
      </c>
      <c r="G53" s="204">
        <f t="shared" si="25"/>
        <v>0</v>
      </c>
      <c r="H53" s="204">
        <f t="shared" si="25"/>
        <v>585639.47490520414</v>
      </c>
      <c r="I53" s="204">
        <f t="shared" si="25"/>
        <v>610533.43367791665</v>
      </c>
      <c r="J53" s="204">
        <f t="shared" si="25"/>
        <v>638388.58694682457</v>
      </c>
      <c r="K53" s="204">
        <f t="shared" si="25"/>
        <v>669756.86963696056</v>
      </c>
      <c r="L53" s="204">
        <f t="shared" si="25"/>
        <v>694704.99069444241</v>
      </c>
      <c r="M53" s="204">
        <f t="shared" si="25"/>
        <v>718189.97874556051</v>
      </c>
      <c r="N53" s="204">
        <f t="shared" si="25"/>
        <v>740259.6382670413</v>
      </c>
      <c r="O53" s="204">
        <f t="shared" si="25"/>
        <v>760960.70389326185</v>
      </c>
      <c r="P53" s="204">
        <f t="shared" si="25"/>
        <v>780338.84838709736</v>
      </c>
      <c r="Q53" s="204">
        <f t="shared" si="25"/>
        <v>792711.6626405787</v>
      </c>
      <c r="R53" s="204">
        <f t="shared" si="25"/>
        <v>809502.77499582921</v>
      </c>
      <c r="S53" s="204">
        <f t="shared" si="25"/>
        <v>830976.74514264532</v>
      </c>
      <c r="T53" s="204">
        <f t="shared" si="25"/>
        <v>845499.01974292053</v>
      </c>
      <c r="U53" s="204">
        <f t="shared" si="25"/>
        <v>858911.14339591668</v>
      </c>
      <c r="V53" s="204">
        <f t="shared" si="25"/>
        <v>871252.62780475407</v>
      </c>
      <c r="W53" s="204">
        <f t="shared" si="25"/>
        <v>882561.99870940193</v>
      </c>
      <c r="X53" s="204">
        <f t="shared" si="25"/>
        <v>892876.80891168618</v>
      </c>
      <c r="Y53" s="204">
        <f t="shared" si="25"/>
        <v>902233.65169518616</v>
      </c>
      <c r="Z53" s="204">
        <f t="shared" si="25"/>
        <v>910668.17459672934</v>
      </c>
      <c r="AA53" s="204">
        <f t="shared" si="25"/>
        <v>924322.16575947485</v>
      </c>
      <c r="AB53" s="204">
        <f t="shared" si="25"/>
        <v>931016.59020391479</v>
      </c>
    </row>
    <row r="54" spans="2:28" x14ac:dyDescent="0.3">
      <c r="B54" s="179" t="s">
        <v>246</v>
      </c>
      <c r="C54" s="215">
        <f t="shared" si="20"/>
        <v>238262865.20886338</v>
      </c>
      <c r="D54" s="204">
        <f t="shared" ref="D54" si="26">SUM(D49:D53)</f>
        <v>0</v>
      </c>
      <c r="E54" s="204">
        <f t="shared" ref="E54:AB54" si="27">SUM(E49:E53)</f>
        <v>0</v>
      </c>
      <c r="F54" s="204">
        <f t="shared" si="27"/>
        <v>0</v>
      </c>
      <c r="G54" s="204">
        <f t="shared" si="27"/>
        <v>0</v>
      </c>
      <c r="H54" s="204">
        <f t="shared" si="27"/>
        <v>9620879.4001486935</v>
      </c>
      <c r="I54" s="204">
        <f t="shared" si="27"/>
        <v>9918187.56034136</v>
      </c>
      <c r="J54" s="204">
        <f t="shared" si="27"/>
        <v>10194923.204425573</v>
      </c>
      <c r="K54" s="204">
        <f t="shared" si="27"/>
        <v>10452778.064229079</v>
      </c>
      <c r="L54" s="204">
        <f t="shared" si="27"/>
        <v>10682912.214166045</v>
      </c>
      <c r="M54" s="204">
        <f t="shared" si="27"/>
        <v>10891331.354708774</v>
      </c>
      <c r="N54" s="204">
        <f t="shared" si="27"/>
        <v>11079088.944528347</v>
      </c>
      <c r="O54" s="204">
        <f t="shared" si="27"/>
        <v>11247195.971058002</v>
      </c>
      <c r="P54" s="204">
        <f t="shared" si="27"/>
        <v>11396622.517062815</v>
      </c>
      <c r="Q54" s="204">
        <f t="shared" si="27"/>
        <v>11522572.243569259</v>
      </c>
      <c r="R54" s="204">
        <f t="shared" si="27"/>
        <v>11637317.958365947</v>
      </c>
      <c r="S54" s="204">
        <f t="shared" si="27"/>
        <v>11741937.907187855</v>
      </c>
      <c r="T54" s="204">
        <f t="shared" si="27"/>
        <v>11825577.076527741</v>
      </c>
      <c r="U54" s="204">
        <f t="shared" si="27"/>
        <v>11894823.703421861</v>
      </c>
      <c r="V54" s="204">
        <f t="shared" si="27"/>
        <v>11950432.396744914</v>
      </c>
      <c r="W54" s="204">
        <f t="shared" si="27"/>
        <v>11993126.391197657</v>
      </c>
      <c r="X54" s="204">
        <f t="shared" si="27"/>
        <v>12023598.723876005</v>
      </c>
      <c r="Y54" s="204">
        <f t="shared" si="27"/>
        <v>12042513.369235242</v>
      </c>
      <c r="Z54" s="204">
        <f t="shared" si="27"/>
        <v>12050506.333865458</v>
      </c>
      <c r="AA54" s="204">
        <f t="shared" si="27"/>
        <v>12054293.784718396</v>
      </c>
      <c r="AB54" s="204">
        <f t="shared" si="27"/>
        <v>12042246.08948439</v>
      </c>
    </row>
    <row r="55" spans="2:28" x14ac:dyDescent="0.3">
      <c r="B55" s="199" t="s">
        <v>243</v>
      </c>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row>
    <row r="56" spans="2:28" x14ac:dyDescent="0.3">
      <c r="B56" s="194" t="s">
        <v>683</v>
      </c>
      <c r="C56" s="195">
        <f>SUM(D56:AB56)</f>
        <v>119018666.45485236</v>
      </c>
      <c r="D56" s="204">
        <f t="shared" ref="D56:AB56" si="28">D18/((1+$E$44))^D$5</f>
        <v>8614617</v>
      </c>
      <c r="E56" s="204">
        <f t="shared" si="28"/>
        <v>898986.40776699025</v>
      </c>
      <c r="F56" s="204">
        <f t="shared" si="28"/>
        <v>37585790.99506709</v>
      </c>
      <c r="G56" s="204">
        <f t="shared" si="28"/>
        <v>36491059.21851173</v>
      </c>
      <c r="H56" s="204">
        <f t="shared" si="28"/>
        <v>35428212.833506539</v>
      </c>
      <c r="I56" s="204">
        <f t="shared" si="28"/>
        <v>0</v>
      </c>
      <c r="J56" s="204">
        <f t="shared" si="28"/>
        <v>0</v>
      </c>
      <c r="K56" s="204">
        <f t="shared" si="28"/>
        <v>0</v>
      </c>
      <c r="L56" s="204">
        <f t="shared" si="28"/>
        <v>0</v>
      </c>
      <c r="M56" s="204">
        <f t="shared" si="28"/>
        <v>0</v>
      </c>
      <c r="N56" s="204">
        <f t="shared" si="28"/>
        <v>0</v>
      </c>
      <c r="O56" s="204">
        <f t="shared" si="28"/>
        <v>0</v>
      </c>
      <c r="P56" s="204">
        <f t="shared" si="28"/>
        <v>0</v>
      </c>
      <c r="Q56" s="204">
        <f t="shared" si="28"/>
        <v>0</v>
      </c>
      <c r="R56" s="204">
        <f t="shared" si="28"/>
        <v>0</v>
      </c>
      <c r="S56" s="204">
        <f t="shared" si="28"/>
        <v>0</v>
      </c>
      <c r="T56" s="204">
        <f t="shared" si="28"/>
        <v>0</v>
      </c>
      <c r="U56" s="204">
        <f t="shared" si="28"/>
        <v>0</v>
      </c>
      <c r="V56" s="204">
        <f t="shared" si="28"/>
        <v>0</v>
      </c>
      <c r="W56" s="204">
        <f t="shared" si="28"/>
        <v>0</v>
      </c>
      <c r="X56" s="204">
        <f t="shared" si="28"/>
        <v>0</v>
      </c>
      <c r="Y56" s="204">
        <f t="shared" si="28"/>
        <v>0</v>
      </c>
      <c r="Z56" s="204">
        <f t="shared" si="28"/>
        <v>0</v>
      </c>
      <c r="AA56" s="204">
        <f t="shared" si="28"/>
        <v>0</v>
      </c>
      <c r="AB56" s="204">
        <f t="shared" si="28"/>
        <v>0</v>
      </c>
    </row>
    <row r="57" spans="2:28" x14ac:dyDescent="0.3">
      <c r="B57" s="198" t="s">
        <v>245</v>
      </c>
      <c r="C57" s="201">
        <f>SUM(D57:AB57)</f>
        <v>515972.66166707431</v>
      </c>
      <c r="D57" s="204">
        <f t="shared" ref="D57:AB57" si="29">D19/((1+$E$44))^D$5</f>
        <v>0</v>
      </c>
      <c r="E57" s="204">
        <f t="shared" si="29"/>
        <v>0</v>
      </c>
      <c r="F57" s="204">
        <f t="shared" si="29"/>
        <v>0</v>
      </c>
      <c r="G57" s="204">
        <f t="shared" si="29"/>
        <v>0</v>
      </c>
      <c r="H57" s="204">
        <f t="shared" si="29"/>
        <v>0</v>
      </c>
      <c r="I57" s="204">
        <f t="shared" si="29"/>
        <v>33671.327722900183</v>
      </c>
      <c r="J57" s="204">
        <f t="shared" si="29"/>
        <v>32690.609439708915</v>
      </c>
      <c r="K57" s="204">
        <f t="shared" si="29"/>
        <v>31738.455766707684</v>
      </c>
      <c r="L57" s="204">
        <f t="shared" si="29"/>
        <v>30814.034724958918</v>
      </c>
      <c r="M57" s="204">
        <f t="shared" si="29"/>
        <v>29916.538567921281</v>
      </c>
      <c r="N57" s="204">
        <f t="shared" si="29"/>
        <v>29045.183075651727</v>
      </c>
      <c r="O57" s="204">
        <f t="shared" si="29"/>
        <v>28199.206869564783</v>
      </c>
      <c r="P57" s="204">
        <f t="shared" si="29"/>
        <v>27377.870747150278</v>
      </c>
      <c r="Q57" s="204">
        <f t="shared" si="29"/>
        <v>26580.457036068234</v>
      </c>
      <c r="R57" s="204">
        <f t="shared" si="29"/>
        <v>25806.268967056534</v>
      </c>
      <c r="S57" s="204">
        <f t="shared" si="29"/>
        <v>25054.630065103429</v>
      </c>
      <c r="T57" s="204">
        <f t="shared" si="29"/>
        <v>24324.883558352849</v>
      </c>
      <c r="U57" s="204">
        <f t="shared" si="29"/>
        <v>23616.391804226067</v>
      </c>
      <c r="V57" s="204">
        <f t="shared" si="29"/>
        <v>22928.535732258319</v>
      </c>
      <c r="W57" s="204">
        <f t="shared" si="29"/>
        <v>22260.714303163415</v>
      </c>
      <c r="X57" s="204">
        <f t="shared" si="29"/>
        <v>21612.343983653802</v>
      </c>
      <c r="Y57" s="204">
        <f t="shared" si="29"/>
        <v>20982.858236557091</v>
      </c>
      <c r="Z57" s="204">
        <f t="shared" si="29"/>
        <v>20371.707025783584</v>
      </c>
      <c r="AA57" s="204">
        <f t="shared" si="29"/>
        <v>19778.356335712215</v>
      </c>
      <c r="AB57" s="204">
        <f t="shared" si="29"/>
        <v>19202.28770457497</v>
      </c>
    </row>
    <row r="58" spans="2:28" x14ac:dyDescent="0.3">
      <c r="B58" s="178" t="s">
        <v>247</v>
      </c>
      <c r="C58" s="202">
        <f>SUM(D58:AB58)</f>
        <v>119534639.11651942</v>
      </c>
      <c r="D58" s="204">
        <f t="shared" ref="D58" si="30">SUM(D56:D57)</f>
        <v>8614617</v>
      </c>
      <c r="E58" s="204">
        <f t="shared" ref="E58:AB58" si="31">SUM(E56:E57)</f>
        <v>898986.40776699025</v>
      </c>
      <c r="F58" s="204">
        <f t="shared" si="31"/>
        <v>37585790.99506709</v>
      </c>
      <c r="G58" s="204">
        <f t="shared" si="31"/>
        <v>36491059.21851173</v>
      </c>
      <c r="H58" s="204">
        <f t="shared" si="31"/>
        <v>35428212.833506539</v>
      </c>
      <c r="I58" s="204">
        <f t="shared" si="31"/>
        <v>33671.327722900183</v>
      </c>
      <c r="J58" s="204">
        <f t="shared" si="31"/>
        <v>32690.609439708915</v>
      </c>
      <c r="K58" s="204">
        <f t="shared" si="31"/>
        <v>31738.455766707684</v>
      </c>
      <c r="L58" s="204">
        <f t="shared" si="31"/>
        <v>30814.034724958918</v>
      </c>
      <c r="M58" s="204">
        <f t="shared" si="31"/>
        <v>29916.538567921281</v>
      </c>
      <c r="N58" s="204">
        <f t="shared" si="31"/>
        <v>29045.183075651727</v>
      </c>
      <c r="O58" s="204">
        <f t="shared" si="31"/>
        <v>28199.206869564783</v>
      </c>
      <c r="P58" s="204">
        <f t="shared" si="31"/>
        <v>27377.870747150278</v>
      </c>
      <c r="Q58" s="204">
        <f t="shared" si="31"/>
        <v>26580.457036068234</v>
      </c>
      <c r="R58" s="204">
        <f t="shared" si="31"/>
        <v>25806.268967056534</v>
      </c>
      <c r="S58" s="204">
        <f t="shared" si="31"/>
        <v>25054.630065103429</v>
      </c>
      <c r="T58" s="204">
        <f t="shared" si="31"/>
        <v>24324.883558352849</v>
      </c>
      <c r="U58" s="204">
        <f t="shared" si="31"/>
        <v>23616.391804226067</v>
      </c>
      <c r="V58" s="204">
        <f t="shared" si="31"/>
        <v>22928.535732258319</v>
      </c>
      <c r="W58" s="204">
        <f t="shared" si="31"/>
        <v>22260.714303163415</v>
      </c>
      <c r="X58" s="204">
        <f t="shared" si="31"/>
        <v>21612.343983653802</v>
      </c>
      <c r="Y58" s="204">
        <f t="shared" si="31"/>
        <v>20982.858236557091</v>
      </c>
      <c r="Z58" s="204">
        <f t="shared" si="31"/>
        <v>20371.707025783584</v>
      </c>
      <c r="AA58" s="204">
        <f t="shared" si="31"/>
        <v>19778.356335712215</v>
      </c>
      <c r="AB58" s="204">
        <f t="shared" si="31"/>
        <v>19202.28770457497</v>
      </c>
    </row>
    <row r="59" spans="2:28" x14ac:dyDescent="0.3">
      <c r="B59" s="199" t="s">
        <v>317</v>
      </c>
      <c r="C59" s="200">
        <f t="shared" ref="C59" si="32">SUM(E59:AB59)</f>
        <v>0</v>
      </c>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row>
    <row r="60" spans="2:28" x14ac:dyDescent="0.3">
      <c r="B60" s="197" t="s">
        <v>248</v>
      </c>
      <c r="C60" s="210">
        <f>SUM(D60:AB60)</f>
        <v>118728226.09234399</v>
      </c>
      <c r="D60" s="204">
        <f t="shared" ref="D60:AB60" si="33">D54-D58</f>
        <v>-8614617</v>
      </c>
      <c r="E60" s="204">
        <f t="shared" si="33"/>
        <v>-898986.40776699025</v>
      </c>
      <c r="F60" s="204">
        <f t="shared" si="33"/>
        <v>-37585790.99506709</v>
      </c>
      <c r="G60" s="204">
        <f t="shared" si="33"/>
        <v>-36491059.21851173</v>
      </c>
      <c r="H60" s="204">
        <f t="shared" si="33"/>
        <v>-25807333.433357846</v>
      </c>
      <c r="I60" s="204">
        <f t="shared" si="33"/>
        <v>9884516.2326184604</v>
      </c>
      <c r="J60" s="204">
        <f t="shared" si="33"/>
        <v>10162232.594985865</v>
      </c>
      <c r="K60" s="204">
        <f t="shared" si="33"/>
        <v>10421039.608462371</v>
      </c>
      <c r="L60" s="204">
        <f t="shared" si="33"/>
        <v>10652098.179441087</v>
      </c>
      <c r="M60" s="204">
        <f t="shared" si="33"/>
        <v>10861414.816140853</v>
      </c>
      <c r="N60" s="204">
        <f t="shared" si="33"/>
        <v>11050043.761452695</v>
      </c>
      <c r="O60" s="204">
        <f t="shared" si="33"/>
        <v>11218996.764188437</v>
      </c>
      <c r="P60" s="204">
        <f t="shared" si="33"/>
        <v>11369244.646315664</v>
      </c>
      <c r="Q60" s="204">
        <f t="shared" si="33"/>
        <v>11495991.78653319</v>
      </c>
      <c r="R60" s="204">
        <f t="shared" si="33"/>
        <v>11611511.68939889</v>
      </c>
      <c r="S60" s="204">
        <f t="shared" si="33"/>
        <v>11716883.277122751</v>
      </c>
      <c r="T60" s="204">
        <f t="shared" si="33"/>
        <v>11801252.192969387</v>
      </c>
      <c r="U60" s="204">
        <f t="shared" si="33"/>
        <v>11871207.311617635</v>
      </c>
      <c r="V60" s="204">
        <f t="shared" si="33"/>
        <v>11927503.861012656</v>
      </c>
      <c r="W60" s="204">
        <f t="shared" si="33"/>
        <v>11970865.676894493</v>
      </c>
      <c r="X60" s="204">
        <f t="shared" si="33"/>
        <v>12001986.379892351</v>
      </c>
      <c r="Y60" s="204">
        <f t="shared" si="33"/>
        <v>12021530.510998685</v>
      </c>
      <c r="Z60" s="204">
        <f t="shared" si="33"/>
        <v>12030134.626839675</v>
      </c>
      <c r="AA60" s="204">
        <f t="shared" si="33"/>
        <v>12034515.428382684</v>
      </c>
      <c r="AB60" s="204">
        <f t="shared" si="33"/>
        <v>12023043.801779814</v>
      </c>
    </row>
    <row r="61" spans="2:28" x14ac:dyDescent="0.3">
      <c r="B61" s="197" t="s">
        <v>251</v>
      </c>
      <c r="C61" s="211">
        <f>C54/C58</f>
        <v>1.9932537293780643</v>
      </c>
      <c r="D61" s="211"/>
      <c r="E61" s="784"/>
      <c r="F61" s="784"/>
      <c r="G61" s="784"/>
      <c r="H61" s="784"/>
      <c r="I61" s="784"/>
      <c r="J61" s="784"/>
      <c r="K61" s="784"/>
      <c r="L61" s="784"/>
      <c r="M61" s="784"/>
      <c r="N61" s="784"/>
      <c r="O61" s="784"/>
      <c r="P61" s="784"/>
      <c r="Q61" s="784"/>
      <c r="R61" s="784"/>
      <c r="S61" s="784"/>
      <c r="T61" s="784"/>
      <c r="U61" s="784"/>
      <c r="V61" s="784"/>
      <c r="W61" s="784"/>
      <c r="X61" s="784"/>
      <c r="Y61" s="784"/>
      <c r="Z61" s="784"/>
      <c r="AA61" s="784"/>
      <c r="AB61" s="784"/>
    </row>
    <row r="62" spans="2:28" x14ac:dyDescent="0.3">
      <c r="E62" s="67"/>
      <c r="F62" s="67"/>
      <c r="G62" s="67"/>
      <c r="H62" s="67"/>
      <c r="I62" s="67"/>
      <c r="J62" s="67"/>
      <c r="K62" s="67"/>
      <c r="L62" s="67"/>
      <c r="M62" s="67"/>
      <c r="N62" s="67"/>
      <c r="O62" s="67"/>
      <c r="P62" s="67"/>
      <c r="Q62" s="67"/>
      <c r="R62" s="67"/>
      <c r="S62" s="67"/>
      <c r="T62" s="67"/>
      <c r="U62" s="67"/>
      <c r="V62" s="67"/>
      <c r="W62" s="67"/>
      <c r="X62" s="67"/>
      <c r="Y62" s="67"/>
      <c r="Z62" s="67"/>
      <c r="AA62" s="67"/>
      <c r="AB62" s="67"/>
    </row>
    <row r="63" spans="2:28" x14ac:dyDescent="0.3">
      <c r="C63" s="466"/>
      <c r="D63" s="466"/>
      <c r="E63" s="67"/>
      <c r="F63" s="67"/>
      <c r="G63" s="67"/>
      <c r="H63" s="67"/>
      <c r="I63" s="67"/>
      <c r="J63" s="67"/>
      <c r="K63" s="67"/>
      <c r="L63" s="67"/>
      <c r="M63" s="67"/>
      <c r="N63" s="67"/>
      <c r="O63" s="67"/>
      <c r="P63" s="67"/>
      <c r="Q63" s="67"/>
      <c r="R63" s="67"/>
      <c r="S63" s="67"/>
      <c r="T63" s="67"/>
      <c r="U63" s="67"/>
      <c r="V63" s="67"/>
      <c r="W63" s="67"/>
      <c r="X63" s="67"/>
      <c r="Y63" s="67"/>
      <c r="Z63" s="67"/>
      <c r="AA63" s="67"/>
      <c r="AB63" s="67"/>
    </row>
    <row r="64" spans="2:28" x14ac:dyDescent="0.3">
      <c r="E64" s="67"/>
      <c r="F64" s="67"/>
      <c r="G64" s="67"/>
      <c r="H64" s="67"/>
      <c r="I64" s="67"/>
      <c r="J64" s="67"/>
      <c r="K64" s="67"/>
      <c r="L64" s="67"/>
      <c r="M64" s="67"/>
      <c r="N64" s="67"/>
      <c r="O64" s="67"/>
      <c r="P64" s="67"/>
      <c r="Q64" s="67"/>
      <c r="R64" s="67"/>
      <c r="S64" s="67"/>
      <c r="T64" s="67"/>
      <c r="U64" s="67"/>
      <c r="V64" s="67"/>
      <c r="W64" s="67"/>
      <c r="X64" s="67"/>
      <c r="Y64" s="67"/>
      <c r="Z64" s="67"/>
      <c r="AA64" s="67"/>
      <c r="AB64" s="67"/>
    </row>
    <row r="65" spans="5:28" x14ac:dyDescent="0.3">
      <c r="E65" s="67"/>
      <c r="F65" s="67"/>
      <c r="G65" s="67"/>
      <c r="H65" s="67"/>
      <c r="I65" s="67"/>
      <c r="J65" s="67"/>
      <c r="K65" s="67"/>
      <c r="L65" s="67"/>
      <c r="M65" s="67"/>
      <c r="N65" s="67"/>
      <c r="O65" s="67"/>
      <c r="P65" s="67"/>
      <c r="Q65" s="67"/>
      <c r="R65" s="67"/>
      <c r="S65" s="67"/>
      <c r="T65" s="67"/>
      <c r="U65" s="67"/>
      <c r="V65" s="67"/>
      <c r="W65" s="67"/>
      <c r="X65" s="67"/>
      <c r="Y65" s="67"/>
      <c r="Z65" s="67"/>
      <c r="AA65" s="67"/>
      <c r="AB65" s="67"/>
    </row>
    <row r="66" spans="5:28" x14ac:dyDescent="0.3">
      <c r="E66" s="67"/>
      <c r="F66" s="67"/>
      <c r="G66" s="67"/>
      <c r="H66" s="67"/>
      <c r="I66" s="67"/>
      <c r="J66" s="67"/>
      <c r="K66" s="67"/>
      <c r="L66" s="67"/>
      <c r="M66" s="67"/>
      <c r="N66" s="67"/>
      <c r="O66" s="67"/>
      <c r="P66" s="67"/>
      <c r="Q66" s="67"/>
      <c r="R66" s="67"/>
      <c r="S66" s="67"/>
      <c r="T66" s="67"/>
      <c r="U66" s="67"/>
      <c r="V66" s="67"/>
      <c r="W66" s="67"/>
      <c r="X66" s="67"/>
      <c r="Y66" s="67"/>
      <c r="Z66" s="67"/>
      <c r="AA66" s="67"/>
      <c r="AB66" s="67"/>
    </row>
    <row r="67" spans="5:28" x14ac:dyDescent="0.3">
      <c r="E67" s="67"/>
      <c r="F67" s="67"/>
      <c r="G67" s="67"/>
      <c r="H67" s="67"/>
      <c r="I67" s="67"/>
      <c r="J67" s="67"/>
      <c r="K67" s="67"/>
      <c r="L67" s="67"/>
      <c r="M67" s="67"/>
      <c r="N67" s="67"/>
      <c r="O67" s="67"/>
      <c r="P67" s="67"/>
      <c r="Q67" s="67"/>
      <c r="R67" s="67"/>
      <c r="S67" s="67"/>
      <c r="T67" s="67"/>
      <c r="U67" s="67"/>
      <c r="V67" s="67"/>
      <c r="W67" s="67"/>
      <c r="X67" s="67"/>
      <c r="Y67" s="67"/>
      <c r="Z67" s="67"/>
      <c r="AA67" s="67"/>
      <c r="AB67" s="67"/>
    </row>
    <row r="68" spans="5:28" x14ac:dyDescent="0.3">
      <c r="E68" s="67"/>
      <c r="F68" s="67"/>
      <c r="G68" s="67"/>
      <c r="H68" s="67"/>
      <c r="I68" s="67"/>
      <c r="J68" s="67"/>
      <c r="K68" s="67"/>
      <c r="L68" s="67"/>
      <c r="M68" s="67"/>
      <c r="N68" s="67"/>
      <c r="O68" s="67"/>
      <c r="P68" s="67"/>
      <c r="Q68" s="67"/>
      <c r="R68" s="67"/>
      <c r="S68" s="67"/>
      <c r="T68" s="67"/>
      <c r="U68" s="67"/>
      <c r="V68" s="67"/>
      <c r="W68" s="67"/>
      <c r="X68" s="67"/>
      <c r="Y68" s="67"/>
      <c r="Z68" s="67"/>
      <c r="AA68" s="67"/>
      <c r="AB68" s="67"/>
    </row>
    <row r="69" spans="5:28" x14ac:dyDescent="0.3">
      <c r="E69" s="67"/>
      <c r="F69" s="67"/>
      <c r="G69" s="67"/>
      <c r="H69" s="67"/>
      <c r="I69" s="67"/>
      <c r="J69" s="67"/>
      <c r="K69" s="67"/>
      <c r="L69" s="67"/>
      <c r="M69" s="67"/>
      <c r="N69" s="67"/>
      <c r="O69" s="67"/>
      <c r="P69" s="67"/>
      <c r="Q69" s="67"/>
      <c r="R69" s="67"/>
      <c r="S69" s="67"/>
      <c r="T69" s="67"/>
      <c r="U69" s="67"/>
      <c r="V69" s="67"/>
      <c r="W69" s="67"/>
      <c r="X69" s="67"/>
      <c r="Y69" s="67"/>
      <c r="Z69" s="67"/>
      <c r="AA69" s="67"/>
      <c r="AB69" s="67"/>
    </row>
    <row r="70" spans="5:28" x14ac:dyDescent="0.3">
      <c r="E70" s="67"/>
      <c r="F70" s="67"/>
      <c r="G70" s="67"/>
      <c r="H70" s="67"/>
      <c r="I70" s="67"/>
      <c r="J70" s="67"/>
      <c r="K70" s="67"/>
      <c r="L70" s="67"/>
      <c r="M70" s="67"/>
      <c r="N70" s="67"/>
      <c r="O70" s="67"/>
      <c r="P70" s="67"/>
      <c r="Q70" s="67"/>
      <c r="R70" s="67"/>
      <c r="S70" s="67"/>
      <c r="T70" s="67"/>
      <c r="U70" s="67"/>
      <c r="V70" s="67"/>
      <c r="W70" s="67"/>
      <c r="X70" s="67"/>
      <c r="Y70" s="67"/>
      <c r="Z70" s="67"/>
      <c r="AA70" s="67"/>
      <c r="AB70" s="67"/>
    </row>
    <row r="71" spans="5:28" x14ac:dyDescent="0.3">
      <c r="E71" s="67"/>
      <c r="F71" s="67"/>
      <c r="G71" s="67"/>
      <c r="H71" s="67"/>
      <c r="I71" s="67"/>
      <c r="J71" s="67"/>
      <c r="K71" s="67"/>
      <c r="L71" s="67"/>
      <c r="M71" s="67"/>
      <c r="N71" s="67"/>
      <c r="O71" s="67"/>
      <c r="P71" s="67"/>
      <c r="Q71" s="67"/>
      <c r="R71" s="67"/>
      <c r="S71" s="67"/>
      <c r="T71" s="67"/>
      <c r="U71" s="67"/>
      <c r="V71" s="67"/>
      <c r="W71" s="67"/>
      <c r="X71" s="67"/>
      <c r="Y71" s="67"/>
      <c r="Z71" s="67"/>
      <c r="AA71" s="67"/>
      <c r="AB71" s="67"/>
    </row>
    <row r="72" spans="5:28" x14ac:dyDescent="0.3">
      <c r="E72" s="67"/>
      <c r="F72" s="67"/>
      <c r="G72" s="67"/>
      <c r="H72" s="67"/>
      <c r="I72" s="67"/>
      <c r="J72" s="67"/>
      <c r="K72" s="67"/>
      <c r="L72" s="67"/>
      <c r="M72" s="67"/>
      <c r="N72" s="67"/>
      <c r="O72" s="67"/>
      <c r="P72" s="67"/>
      <c r="Q72" s="67"/>
      <c r="R72" s="67"/>
      <c r="S72" s="67"/>
      <c r="T72" s="67"/>
      <c r="U72" s="67"/>
      <c r="V72" s="67"/>
      <c r="W72" s="67"/>
      <c r="X72" s="67"/>
      <c r="Y72" s="67"/>
      <c r="Z72" s="67"/>
      <c r="AA72" s="67"/>
      <c r="AB72" s="67"/>
    </row>
    <row r="73" spans="5:28" x14ac:dyDescent="0.3">
      <c r="E73" s="67"/>
      <c r="F73" s="67"/>
      <c r="G73" s="67"/>
      <c r="H73" s="67"/>
      <c r="I73" s="67"/>
      <c r="J73" s="67"/>
      <c r="K73" s="67"/>
      <c r="L73" s="67"/>
      <c r="M73" s="67"/>
      <c r="N73" s="67"/>
      <c r="O73" s="67"/>
      <c r="P73" s="67"/>
      <c r="Q73" s="67"/>
      <c r="R73" s="67"/>
      <c r="S73" s="67"/>
      <c r="T73" s="67"/>
      <c r="U73" s="67"/>
      <c r="V73" s="67"/>
      <c r="W73" s="67"/>
      <c r="X73" s="67"/>
      <c r="Y73" s="67"/>
      <c r="Z73" s="67"/>
      <c r="AA73" s="67"/>
      <c r="AB73" s="67"/>
    </row>
    <row r="74" spans="5:28" x14ac:dyDescent="0.3">
      <c r="E74" s="67"/>
      <c r="F74" s="67"/>
      <c r="G74" s="67"/>
      <c r="H74" s="67"/>
      <c r="I74" s="67"/>
      <c r="J74" s="67"/>
      <c r="K74" s="67"/>
      <c r="L74" s="67"/>
      <c r="M74" s="67"/>
      <c r="N74" s="67"/>
      <c r="O74" s="67"/>
      <c r="P74" s="67"/>
      <c r="Q74" s="67"/>
      <c r="R74" s="67"/>
      <c r="S74" s="67"/>
      <c r="T74" s="67"/>
      <c r="U74" s="67"/>
      <c r="V74" s="67"/>
      <c r="W74" s="67"/>
      <c r="X74" s="67"/>
      <c r="Y74" s="67"/>
      <c r="Z74" s="67"/>
      <c r="AA74" s="67"/>
      <c r="AB74" s="67"/>
    </row>
    <row r="75" spans="5:28" x14ac:dyDescent="0.3">
      <c r="E75" s="67"/>
      <c r="F75" s="67"/>
      <c r="G75" s="67"/>
      <c r="H75" s="67"/>
      <c r="I75" s="67"/>
      <c r="J75" s="67"/>
      <c r="K75" s="67"/>
      <c r="L75" s="67"/>
      <c r="M75" s="67"/>
      <c r="N75" s="67"/>
      <c r="O75" s="67"/>
      <c r="P75" s="67"/>
      <c r="Q75" s="67"/>
      <c r="R75" s="67"/>
      <c r="S75" s="67"/>
      <c r="T75" s="67"/>
      <c r="U75" s="67"/>
      <c r="V75" s="67"/>
      <c r="W75" s="67"/>
      <c r="X75" s="67"/>
      <c r="Y75" s="67"/>
      <c r="Z75" s="67"/>
      <c r="AA75" s="67"/>
      <c r="AB75" s="67"/>
    </row>
    <row r="76" spans="5:28" x14ac:dyDescent="0.3">
      <c r="E76" s="67"/>
      <c r="F76" s="67"/>
      <c r="G76" s="67"/>
      <c r="H76" s="67"/>
      <c r="I76" s="67"/>
      <c r="J76" s="67"/>
      <c r="K76" s="67"/>
      <c r="L76" s="67"/>
      <c r="M76" s="67"/>
      <c r="N76" s="67"/>
      <c r="O76" s="67"/>
      <c r="P76" s="67"/>
      <c r="Q76" s="67"/>
      <c r="R76" s="67"/>
      <c r="S76" s="67"/>
      <c r="T76" s="67"/>
      <c r="U76" s="67"/>
      <c r="V76" s="67"/>
      <c r="W76" s="67"/>
      <c r="X76" s="67"/>
      <c r="Y76" s="67"/>
      <c r="Z76" s="67"/>
      <c r="AA76" s="67"/>
      <c r="AB76" s="67"/>
    </row>
    <row r="77" spans="5:28" x14ac:dyDescent="0.3">
      <c r="E77" s="67"/>
      <c r="F77" s="67"/>
      <c r="G77" s="67"/>
      <c r="H77" s="67"/>
      <c r="I77" s="67"/>
      <c r="J77" s="67"/>
      <c r="K77" s="67"/>
      <c r="L77" s="67"/>
      <c r="M77" s="67"/>
      <c r="N77" s="67"/>
      <c r="O77" s="67"/>
      <c r="P77" s="67"/>
      <c r="Q77" s="67"/>
      <c r="R77" s="67"/>
      <c r="S77" s="67"/>
      <c r="T77" s="67"/>
      <c r="U77" s="67"/>
      <c r="V77" s="67"/>
      <c r="W77" s="67"/>
      <c r="X77" s="67"/>
      <c r="Y77" s="67"/>
      <c r="Z77" s="67"/>
      <c r="AA77" s="67"/>
      <c r="AB77" s="67"/>
    </row>
    <row r="78" spans="5:28" x14ac:dyDescent="0.3">
      <c r="E78" s="67"/>
      <c r="F78" s="67"/>
      <c r="G78" s="67"/>
      <c r="H78" s="67"/>
      <c r="I78" s="67"/>
      <c r="J78" s="67"/>
      <c r="K78" s="67"/>
      <c r="L78" s="67"/>
      <c r="M78" s="67"/>
      <c r="N78" s="67"/>
      <c r="O78" s="67"/>
      <c r="P78" s="67"/>
      <c r="Q78" s="67"/>
      <c r="R78" s="67"/>
      <c r="S78" s="67"/>
      <c r="T78" s="67"/>
      <c r="U78" s="67"/>
      <c r="V78" s="67"/>
      <c r="W78" s="67"/>
      <c r="X78" s="67"/>
      <c r="Y78" s="67"/>
      <c r="Z78" s="67"/>
      <c r="AA78" s="67"/>
      <c r="AB78" s="67"/>
    </row>
    <row r="79" spans="5:28" x14ac:dyDescent="0.3">
      <c r="E79" s="67"/>
      <c r="F79" s="67"/>
      <c r="G79" s="67"/>
      <c r="H79" s="67"/>
      <c r="I79" s="67"/>
      <c r="J79" s="67"/>
      <c r="K79" s="67"/>
      <c r="L79" s="67"/>
      <c r="M79" s="67"/>
      <c r="N79" s="67"/>
      <c r="O79" s="67"/>
      <c r="P79" s="67"/>
      <c r="Q79" s="67"/>
      <c r="R79" s="67"/>
      <c r="S79" s="67"/>
      <c r="T79" s="67"/>
      <c r="U79" s="67"/>
      <c r="V79" s="67"/>
      <c r="W79" s="67"/>
      <c r="X79" s="67"/>
      <c r="Y79" s="67"/>
      <c r="Z79" s="67"/>
      <c r="AA79" s="67"/>
      <c r="AB79" s="67"/>
    </row>
    <row r="80" spans="5:28" x14ac:dyDescent="0.3">
      <c r="E80" s="67"/>
      <c r="F80" s="67"/>
      <c r="G80" s="67"/>
      <c r="H80" s="67"/>
      <c r="I80" s="67"/>
      <c r="J80" s="67"/>
      <c r="K80" s="67"/>
      <c r="L80" s="67"/>
      <c r="M80" s="67"/>
      <c r="N80" s="67"/>
      <c r="O80" s="67"/>
      <c r="P80" s="67"/>
      <c r="Q80" s="67"/>
      <c r="R80" s="67"/>
      <c r="S80" s="67"/>
      <c r="T80" s="67"/>
      <c r="U80" s="67"/>
      <c r="V80" s="67"/>
      <c r="W80" s="67"/>
      <c r="X80" s="67"/>
      <c r="Y80" s="67"/>
      <c r="Z80" s="67"/>
      <c r="AA80" s="67"/>
      <c r="AB80" s="67"/>
    </row>
    <row r="81" spans="5:28" x14ac:dyDescent="0.3">
      <c r="E81" s="67"/>
      <c r="F81" s="67"/>
      <c r="G81" s="67"/>
      <c r="H81" s="67"/>
      <c r="I81" s="67"/>
      <c r="J81" s="67"/>
      <c r="K81" s="67"/>
      <c r="L81" s="67"/>
      <c r="M81" s="67"/>
      <c r="N81" s="67"/>
      <c r="O81" s="67"/>
      <c r="P81" s="67"/>
      <c r="Q81" s="67"/>
      <c r="R81" s="67"/>
      <c r="S81" s="67"/>
      <c r="T81" s="67"/>
      <c r="U81" s="67"/>
      <c r="V81" s="67"/>
      <c r="W81" s="67"/>
      <c r="X81" s="67"/>
      <c r="Y81" s="67"/>
      <c r="Z81" s="67"/>
      <c r="AA81" s="67"/>
      <c r="AB81" s="67"/>
    </row>
    <row r="82" spans="5:28" x14ac:dyDescent="0.3">
      <c r="E82" s="67"/>
      <c r="F82" s="67"/>
      <c r="G82" s="67"/>
      <c r="H82" s="67"/>
      <c r="I82" s="67"/>
      <c r="J82" s="67"/>
      <c r="K82" s="67"/>
      <c r="L82" s="67"/>
      <c r="M82" s="67"/>
      <c r="N82" s="67"/>
      <c r="O82" s="67"/>
      <c r="P82" s="67"/>
      <c r="Q82" s="67"/>
      <c r="R82" s="67"/>
      <c r="S82" s="67"/>
      <c r="T82" s="67"/>
      <c r="U82" s="67"/>
      <c r="V82" s="67"/>
      <c r="W82" s="67"/>
      <c r="X82" s="67"/>
      <c r="Y82" s="67"/>
      <c r="Z82" s="67"/>
      <c r="AA82" s="67"/>
      <c r="AB82" s="67"/>
    </row>
    <row r="83" spans="5:28" x14ac:dyDescent="0.3">
      <c r="E83" s="67"/>
      <c r="F83" s="67"/>
      <c r="G83" s="67"/>
      <c r="H83" s="67"/>
      <c r="I83" s="67"/>
      <c r="J83" s="67"/>
      <c r="K83" s="67"/>
      <c r="L83" s="67"/>
      <c r="M83" s="67"/>
      <c r="N83" s="67"/>
      <c r="O83" s="67"/>
      <c r="P83" s="67"/>
      <c r="Q83" s="67"/>
      <c r="R83" s="67"/>
      <c r="S83" s="67"/>
      <c r="T83" s="67"/>
      <c r="U83" s="67"/>
      <c r="V83" s="67"/>
      <c r="W83" s="67"/>
      <c r="X83" s="67"/>
      <c r="Y83" s="67"/>
      <c r="Z83" s="67"/>
      <c r="AA83" s="67"/>
      <c r="AB83" s="67"/>
    </row>
    <row r="84" spans="5:28" x14ac:dyDescent="0.3">
      <c r="E84" s="67"/>
      <c r="F84" s="67"/>
      <c r="G84" s="67"/>
      <c r="H84" s="67"/>
      <c r="I84" s="67"/>
      <c r="J84" s="67"/>
      <c r="K84" s="67"/>
      <c r="L84" s="67"/>
      <c r="M84" s="67"/>
      <c r="N84" s="67"/>
      <c r="O84" s="67"/>
      <c r="P84" s="67"/>
      <c r="Q84" s="67"/>
      <c r="R84" s="67"/>
      <c r="S84" s="67"/>
      <c r="T84" s="67"/>
      <c r="U84" s="67"/>
      <c r="V84" s="67"/>
      <c r="W84" s="67"/>
      <c r="X84" s="67"/>
      <c r="Y84" s="67"/>
      <c r="Z84" s="67"/>
      <c r="AA84" s="67"/>
      <c r="AB84" s="67"/>
    </row>
    <row r="85" spans="5:28" x14ac:dyDescent="0.3">
      <c r="E85" s="67"/>
      <c r="F85" s="67"/>
      <c r="G85" s="67"/>
      <c r="H85" s="67"/>
      <c r="I85" s="67"/>
      <c r="J85" s="67"/>
      <c r="K85" s="67"/>
      <c r="L85" s="67"/>
      <c r="M85" s="67"/>
      <c r="N85" s="67"/>
      <c r="O85" s="67"/>
      <c r="P85" s="67"/>
      <c r="Q85" s="67"/>
      <c r="R85" s="67"/>
      <c r="S85" s="67"/>
      <c r="T85" s="67"/>
      <c r="U85" s="67"/>
      <c r="V85" s="67"/>
      <c r="W85" s="67"/>
      <c r="X85" s="67"/>
      <c r="Y85" s="67"/>
      <c r="Z85" s="67"/>
      <c r="AA85" s="67"/>
      <c r="AB85" s="67"/>
    </row>
    <row r="86" spans="5:28" x14ac:dyDescent="0.3">
      <c r="E86" s="67"/>
      <c r="F86" s="67"/>
      <c r="G86" s="67"/>
      <c r="H86" s="67"/>
      <c r="I86" s="67"/>
      <c r="J86" s="67"/>
      <c r="K86" s="67"/>
      <c r="L86" s="67"/>
      <c r="M86" s="67"/>
      <c r="N86" s="67"/>
      <c r="O86" s="67"/>
      <c r="P86" s="67"/>
      <c r="Q86" s="67"/>
      <c r="R86" s="67"/>
      <c r="S86" s="67"/>
      <c r="T86" s="67"/>
      <c r="U86" s="67"/>
      <c r="V86" s="67"/>
      <c r="W86" s="67"/>
      <c r="X86" s="67"/>
      <c r="Y86" s="67"/>
      <c r="Z86" s="67"/>
      <c r="AA86" s="67"/>
      <c r="AB86" s="67"/>
    </row>
    <row r="87" spans="5:28" x14ac:dyDescent="0.3">
      <c r="E87" s="67"/>
      <c r="F87" s="67"/>
      <c r="G87" s="67"/>
      <c r="H87" s="67"/>
      <c r="I87" s="67"/>
      <c r="J87" s="67"/>
      <c r="K87" s="67"/>
      <c r="L87" s="67"/>
      <c r="M87" s="67"/>
      <c r="N87" s="67"/>
      <c r="O87" s="67"/>
      <c r="P87" s="67"/>
      <c r="Q87" s="67"/>
      <c r="R87" s="67"/>
      <c r="S87" s="67"/>
      <c r="T87" s="67"/>
      <c r="U87" s="67"/>
      <c r="V87" s="67"/>
      <c r="W87" s="67"/>
      <c r="X87" s="67"/>
      <c r="Y87" s="67"/>
      <c r="Z87" s="67"/>
      <c r="AA87" s="67"/>
      <c r="AB87" s="67"/>
    </row>
    <row r="88" spans="5:28" x14ac:dyDescent="0.3">
      <c r="E88" s="67"/>
      <c r="F88" s="67"/>
      <c r="G88" s="67"/>
      <c r="H88" s="67"/>
      <c r="I88" s="67"/>
      <c r="J88" s="67"/>
      <c r="K88" s="67"/>
      <c r="L88" s="67"/>
      <c r="M88" s="67"/>
      <c r="N88" s="67"/>
      <c r="O88" s="67"/>
      <c r="P88" s="67"/>
      <c r="Q88" s="67"/>
      <c r="R88" s="67"/>
      <c r="S88" s="67"/>
      <c r="T88" s="67"/>
      <c r="U88" s="67"/>
      <c r="V88" s="67"/>
      <c r="W88" s="67"/>
      <c r="X88" s="67"/>
      <c r="Y88" s="67"/>
      <c r="Z88" s="67"/>
      <c r="AA88" s="67"/>
      <c r="AB88" s="67"/>
    </row>
    <row r="89" spans="5:28" x14ac:dyDescent="0.3">
      <c r="E89" s="67"/>
      <c r="F89" s="67"/>
      <c r="G89" s="67"/>
      <c r="H89" s="67"/>
      <c r="I89" s="67"/>
      <c r="J89" s="67"/>
      <c r="K89" s="67"/>
      <c r="L89" s="67"/>
      <c r="M89" s="67"/>
      <c r="N89" s="67"/>
      <c r="O89" s="67"/>
      <c r="P89" s="67"/>
      <c r="Q89" s="67"/>
      <c r="R89" s="67"/>
      <c r="S89" s="67"/>
      <c r="T89" s="67"/>
      <c r="U89" s="67"/>
      <c r="V89" s="67"/>
      <c r="W89" s="67"/>
      <c r="X89" s="67"/>
      <c r="Y89" s="67"/>
      <c r="Z89" s="67"/>
      <c r="AA89" s="67"/>
      <c r="AB89" s="67"/>
    </row>
    <row r="90" spans="5:28" x14ac:dyDescent="0.3">
      <c r="E90" s="67"/>
      <c r="F90" s="67"/>
      <c r="G90" s="67"/>
      <c r="H90" s="67"/>
      <c r="I90" s="67"/>
      <c r="J90" s="67"/>
      <c r="K90" s="67"/>
      <c r="L90" s="67"/>
      <c r="M90" s="67"/>
      <c r="N90" s="67"/>
      <c r="O90" s="67"/>
      <c r="P90" s="67"/>
      <c r="Q90" s="67"/>
      <c r="R90" s="67"/>
      <c r="S90" s="67"/>
      <c r="T90" s="67"/>
      <c r="U90" s="67"/>
      <c r="V90" s="67"/>
      <c r="W90" s="67"/>
      <c r="X90" s="67"/>
      <c r="Y90" s="67"/>
      <c r="Z90" s="67"/>
      <c r="AA90" s="67"/>
      <c r="AB90" s="67"/>
    </row>
    <row r="91" spans="5:28" x14ac:dyDescent="0.3">
      <c r="E91" s="67"/>
      <c r="F91" s="67"/>
      <c r="G91" s="67"/>
      <c r="H91" s="67"/>
      <c r="I91" s="67"/>
      <c r="J91" s="67"/>
      <c r="K91" s="67"/>
      <c r="L91" s="67"/>
      <c r="M91" s="67"/>
      <c r="N91" s="67"/>
      <c r="O91" s="67"/>
      <c r="P91" s="67"/>
      <c r="Q91" s="67"/>
      <c r="R91" s="67"/>
      <c r="S91" s="67"/>
      <c r="T91" s="67"/>
      <c r="U91" s="67"/>
      <c r="V91" s="67"/>
      <c r="W91" s="67"/>
      <c r="X91" s="67"/>
      <c r="Y91" s="67"/>
      <c r="Z91" s="67"/>
      <c r="AA91" s="67"/>
      <c r="AB91" s="67"/>
    </row>
    <row r="92" spans="5:28" x14ac:dyDescent="0.3">
      <c r="E92" s="67"/>
      <c r="F92" s="67"/>
      <c r="G92" s="67"/>
      <c r="H92" s="67"/>
      <c r="I92" s="67"/>
      <c r="J92" s="67"/>
      <c r="K92" s="67"/>
      <c r="L92" s="67"/>
      <c r="M92" s="67"/>
      <c r="N92" s="67"/>
      <c r="O92" s="67"/>
      <c r="P92" s="67"/>
      <c r="Q92" s="67"/>
      <c r="R92" s="67"/>
      <c r="S92" s="67"/>
      <c r="T92" s="67"/>
      <c r="U92" s="67"/>
      <c r="V92" s="67"/>
      <c r="W92" s="67"/>
      <c r="X92" s="67"/>
      <c r="Y92" s="67"/>
      <c r="Z92" s="67"/>
      <c r="AA92" s="67"/>
      <c r="AB92" s="67"/>
    </row>
    <row r="93" spans="5:28" x14ac:dyDescent="0.3">
      <c r="E93" s="67"/>
      <c r="F93" s="67"/>
      <c r="G93" s="67"/>
      <c r="H93" s="67"/>
      <c r="I93" s="67"/>
      <c r="J93" s="67"/>
      <c r="K93" s="67"/>
      <c r="L93" s="67"/>
      <c r="M93" s="67"/>
      <c r="N93" s="67"/>
      <c r="O93" s="67"/>
      <c r="P93" s="67"/>
      <c r="Q93" s="67"/>
      <c r="R93" s="67"/>
      <c r="S93" s="67"/>
      <c r="T93" s="67"/>
      <c r="U93" s="67"/>
      <c r="V93" s="67"/>
      <c r="W93" s="67"/>
      <c r="X93" s="67"/>
      <c r="Y93" s="67"/>
      <c r="Z93" s="67"/>
      <c r="AA93" s="67"/>
      <c r="AB93" s="67"/>
    </row>
    <row r="94" spans="5:28" x14ac:dyDescent="0.3">
      <c r="E94" s="67"/>
      <c r="F94" s="67"/>
      <c r="G94" s="67"/>
      <c r="H94" s="67"/>
      <c r="I94" s="67"/>
      <c r="J94" s="67"/>
      <c r="K94" s="67"/>
      <c r="L94" s="67"/>
      <c r="M94" s="67"/>
      <c r="N94" s="67"/>
      <c r="O94" s="67"/>
      <c r="P94" s="67"/>
      <c r="Q94" s="67"/>
      <c r="R94" s="67"/>
      <c r="S94" s="67"/>
      <c r="T94" s="67"/>
      <c r="U94" s="67"/>
      <c r="V94" s="67"/>
      <c r="W94" s="67"/>
      <c r="X94" s="67"/>
      <c r="Y94" s="67"/>
      <c r="Z94" s="67"/>
      <c r="AA94" s="67"/>
      <c r="AB94" s="67"/>
    </row>
    <row r="95" spans="5:28" x14ac:dyDescent="0.3">
      <c r="E95" s="67"/>
      <c r="F95" s="67"/>
      <c r="G95" s="67"/>
      <c r="H95" s="67"/>
      <c r="I95" s="67"/>
      <c r="J95" s="67"/>
      <c r="K95" s="67"/>
      <c r="L95" s="67"/>
      <c r="M95" s="67"/>
      <c r="N95" s="67"/>
      <c r="O95" s="67"/>
      <c r="P95" s="67"/>
      <c r="Q95" s="67"/>
      <c r="R95" s="67"/>
      <c r="S95" s="67"/>
      <c r="T95" s="67"/>
      <c r="U95" s="67"/>
      <c r="V95" s="67"/>
      <c r="W95" s="67"/>
      <c r="X95" s="67"/>
      <c r="Y95" s="67"/>
      <c r="Z95" s="67"/>
      <c r="AA95" s="67"/>
      <c r="AB95" s="67"/>
    </row>
    <row r="96" spans="5:28" x14ac:dyDescent="0.3">
      <c r="E96" s="67"/>
      <c r="F96" s="67"/>
      <c r="G96" s="67"/>
      <c r="H96" s="67"/>
      <c r="I96" s="67"/>
      <c r="J96" s="67"/>
      <c r="K96" s="67"/>
      <c r="L96" s="67"/>
      <c r="M96" s="67"/>
      <c r="N96" s="67"/>
      <c r="O96" s="67"/>
      <c r="P96" s="67"/>
      <c r="Q96" s="67"/>
      <c r="R96" s="67"/>
      <c r="S96" s="67"/>
      <c r="T96" s="67"/>
      <c r="U96" s="67"/>
      <c r="V96" s="67"/>
      <c r="W96" s="67"/>
      <c r="X96" s="67"/>
      <c r="Y96" s="67"/>
      <c r="Z96" s="67"/>
      <c r="AA96" s="67"/>
      <c r="AB96" s="67"/>
    </row>
    <row r="97" spans="5:28" x14ac:dyDescent="0.3">
      <c r="E97" s="67"/>
      <c r="F97" s="67"/>
      <c r="G97" s="67"/>
      <c r="H97" s="67"/>
      <c r="I97" s="67"/>
      <c r="J97" s="67"/>
      <c r="K97" s="67"/>
      <c r="L97" s="67"/>
      <c r="M97" s="67"/>
      <c r="N97" s="67"/>
      <c r="O97" s="67"/>
      <c r="P97" s="67"/>
      <c r="Q97" s="67"/>
      <c r="R97" s="67"/>
      <c r="S97" s="67"/>
      <c r="T97" s="67"/>
      <c r="U97" s="67"/>
      <c r="V97" s="67"/>
      <c r="W97" s="67"/>
      <c r="X97" s="67"/>
      <c r="Y97" s="67"/>
      <c r="Z97" s="67"/>
      <c r="AA97" s="67"/>
      <c r="AB97" s="67"/>
    </row>
    <row r="98" spans="5:28" x14ac:dyDescent="0.3">
      <c r="E98" s="67"/>
      <c r="F98" s="67"/>
      <c r="G98" s="67"/>
      <c r="H98" s="67"/>
      <c r="I98" s="67"/>
      <c r="J98" s="67"/>
      <c r="K98" s="67"/>
      <c r="L98" s="67"/>
      <c r="M98" s="67"/>
      <c r="N98" s="67"/>
      <c r="O98" s="67"/>
      <c r="P98" s="67"/>
      <c r="Q98" s="67"/>
      <c r="R98" s="67"/>
      <c r="S98" s="67"/>
      <c r="T98" s="67"/>
      <c r="U98" s="67"/>
      <c r="V98" s="67"/>
      <c r="W98" s="67"/>
      <c r="X98" s="67"/>
      <c r="Y98" s="67"/>
      <c r="Z98" s="67"/>
      <c r="AA98" s="67"/>
      <c r="AB98" s="67"/>
    </row>
    <row r="99" spans="5:28" x14ac:dyDescent="0.3">
      <c r="E99" s="67"/>
      <c r="F99" s="67"/>
      <c r="G99" s="67"/>
      <c r="H99" s="67"/>
      <c r="I99" s="67"/>
      <c r="J99" s="67"/>
      <c r="K99" s="67"/>
      <c r="L99" s="67"/>
      <c r="M99" s="67"/>
      <c r="N99" s="67"/>
      <c r="O99" s="67"/>
      <c r="P99" s="67"/>
      <c r="Q99" s="67"/>
      <c r="R99" s="67"/>
      <c r="S99" s="67"/>
      <c r="T99" s="67"/>
      <c r="U99" s="67"/>
      <c r="V99" s="67"/>
      <c r="W99" s="67"/>
      <c r="X99" s="67"/>
      <c r="Y99" s="67"/>
      <c r="Z99" s="67"/>
      <c r="AA99" s="67"/>
      <c r="AB99" s="67"/>
    </row>
    <row r="100" spans="5:28" x14ac:dyDescent="0.3">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row>
    <row r="101" spans="5:28" x14ac:dyDescent="0.3">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row>
    <row r="102" spans="5:28" x14ac:dyDescent="0.3">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row>
    <row r="103" spans="5:28" x14ac:dyDescent="0.3">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row>
    <row r="104" spans="5:28" x14ac:dyDescent="0.3">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row>
    <row r="105" spans="5:28" x14ac:dyDescent="0.3">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row>
    <row r="106" spans="5:28" x14ac:dyDescent="0.3">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row>
    <row r="107" spans="5:28" x14ac:dyDescent="0.3">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row>
    <row r="108" spans="5:28" x14ac:dyDescent="0.3">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row>
    <row r="109" spans="5:28" x14ac:dyDescent="0.3">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row>
    <row r="110" spans="5:28" x14ac:dyDescent="0.3">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row>
    <row r="111" spans="5:28" x14ac:dyDescent="0.3">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row>
    <row r="112" spans="5:28" x14ac:dyDescent="0.3">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row>
    <row r="113" spans="5:28" x14ac:dyDescent="0.3">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row>
    <row r="114" spans="5:28" x14ac:dyDescent="0.3">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row>
    <row r="115" spans="5:28" x14ac:dyDescent="0.3">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row>
    <row r="116" spans="5:28" x14ac:dyDescent="0.3">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row>
    <row r="117" spans="5:28" x14ac:dyDescent="0.3">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row>
    <row r="118" spans="5:28" x14ac:dyDescent="0.3">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row>
    <row r="119" spans="5:28" x14ac:dyDescent="0.3">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row>
    <row r="120" spans="5:28" x14ac:dyDescent="0.3">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row>
    <row r="121" spans="5:28" x14ac:dyDescent="0.3">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row>
    <row r="122" spans="5:28" x14ac:dyDescent="0.3">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row>
    <row r="123" spans="5:28" x14ac:dyDescent="0.3">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row>
    <row r="124" spans="5:28" x14ac:dyDescent="0.3">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row>
    <row r="125" spans="5:28" x14ac:dyDescent="0.3">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row>
    <row r="126" spans="5:28" x14ac:dyDescent="0.3">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row>
    <row r="127" spans="5:28" x14ac:dyDescent="0.3">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row>
    <row r="128" spans="5:28" x14ac:dyDescent="0.3">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row>
    <row r="129" spans="5:28" x14ac:dyDescent="0.3">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row>
    <row r="130" spans="5:28" x14ac:dyDescent="0.3">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row>
    <row r="131" spans="5:28" x14ac:dyDescent="0.3">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row>
    <row r="132" spans="5:28" x14ac:dyDescent="0.3">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row>
    <row r="133" spans="5:28" x14ac:dyDescent="0.3">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row>
    <row r="134" spans="5:28" x14ac:dyDescent="0.3">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row>
    <row r="135" spans="5:28" x14ac:dyDescent="0.3">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row>
    <row r="136" spans="5:28" x14ac:dyDescent="0.3">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row>
    <row r="137" spans="5:28" x14ac:dyDescent="0.3">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row>
    <row r="138" spans="5:28" x14ac:dyDescent="0.3">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row>
    <row r="139" spans="5:28" x14ac:dyDescent="0.3">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row>
    <row r="140" spans="5:28" x14ac:dyDescent="0.3">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row>
    <row r="141" spans="5:28" x14ac:dyDescent="0.3">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row>
    <row r="142" spans="5:28" x14ac:dyDescent="0.3">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row>
    <row r="143" spans="5:28" x14ac:dyDescent="0.3">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row>
    <row r="144" spans="5:28" x14ac:dyDescent="0.3">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row>
    <row r="145" spans="5:28" x14ac:dyDescent="0.3">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row>
    <row r="146" spans="5:28" x14ac:dyDescent="0.3">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row>
    <row r="147" spans="5:28" x14ac:dyDescent="0.3">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row>
    <row r="148" spans="5:28" x14ac:dyDescent="0.3">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row>
    <row r="149" spans="5:28" x14ac:dyDescent="0.3">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row>
    <row r="150" spans="5:28" x14ac:dyDescent="0.3">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row>
    <row r="151" spans="5:28" x14ac:dyDescent="0.3">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row>
    <row r="152" spans="5:28" x14ac:dyDescent="0.3">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row>
    <row r="153" spans="5:28" x14ac:dyDescent="0.3">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row>
    <row r="154" spans="5:28" x14ac:dyDescent="0.3">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row>
    <row r="155" spans="5:28" x14ac:dyDescent="0.3">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row>
    <row r="156" spans="5:28" x14ac:dyDescent="0.3">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row>
    <row r="157" spans="5:28" x14ac:dyDescent="0.3">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row>
    <row r="158" spans="5:28" x14ac:dyDescent="0.3">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row>
    <row r="159" spans="5:28" x14ac:dyDescent="0.3">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row>
    <row r="160" spans="5:28" x14ac:dyDescent="0.3">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row>
    <row r="161" spans="5:28" x14ac:dyDescent="0.3">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row>
    <row r="162" spans="5:28" x14ac:dyDescent="0.3">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row>
    <row r="163" spans="5:28" x14ac:dyDescent="0.3">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row>
    <row r="164" spans="5:28" x14ac:dyDescent="0.3">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row>
    <row r="165" spans="5:28" x14ac:dyDescent="0.3">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row>
    <row r="166" spans="5:28" x14ac:dyDescent="0.3">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row>
    <row r="167" spans="5:28" x14ac:dyDescent="0.3">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row>
    <row r="168" spans="5:28" x14ac:dyDescent="0.3">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row>
    <row r="169" spans="5:28" x14ac:dyDescent="0.3">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row>
    <row r="170" spans="5:28" x14ac:dyDescent="0.3">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row>
    <row r="171" spans="5:28" x14ac:dyDescent="0.3">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row>
    <row r="172" spans="5:28" x14ac:dyDescent="0.3">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row>
    <row r="173" spans="5:28" x14ac:dyDescent="0.3">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row>
    <row r="174" spans="5:28" x14ac:dyDescent="0.3">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row>
    <row r="175" spans="5:28" x14ac:dyDescent="0.3">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row>
    <row r="176" spans="5:28" x14ac:dyDescent="0.3">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row>
    <row r="177" spans="5:28" x14ac:dyDescent="0.3">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row>
    <row r="178" spans="5:28" x14ac:dyDescent="0.3">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row>
    <row r="179" spans="5:28" x14ac:dyDescent="0.3">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row>
    <row r="180" spans="5:28" x14ac:dyDescent="0.3">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row>
    <row r="181" spans="5:28" x14ac:dyDescent="0.3">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row>
    <row r="182" spans="5:28" x14ac:dyDescent="0.3">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row>
    <row r="183" spans="5:28" x14ac:dyDescent="0.3">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row>
    <row r="184" spans="5:28" x14ac:dyDescent="0.3">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row>
    <row r="185" spans="5:28" x14ac:dyDescent="0.3">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row>
    <row r="186" spans="5:28" x14ac:dyDescent="0.3">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row>
    <row r="187" spans="5:28" x14ac:dyDescent="0.3">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row>
    <row r="188" spans="5:28" x14ac:dyDescent="0.3">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row>
    <row r="189" spans="5:28" x14ac:dyDescent="0.3">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row>
    <row r="190" spans="5:28" x14ac:dyDescent="0.3">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row>
    <row r="191" spans="5:28" x14ac:dyDescent="0.3">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row>
    <row r="192" spans="5:28" x14ac:dyDescent="0.3">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row>
    <row r="193" spans="5:28" x14ac:dyDescent="0.3">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row>
    <row r="194" spans="5:28" x14ac:dyDescent="0.3">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row>
    <row r="195" spans="5:28" x14ac:dyDescent="0.3">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row>
    <row r="196" spans="5:28" x14ac:dyDescent="0.3">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row>
    <row r="197" spans="5:28" x14ac:dyDescent="0.3">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row>
    <row r="198" spans="5:28" x14ac:dyDescent="0.3">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row>
    <row r="199" spans="5:28" x14ac:dyDescent="0.3">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row>
    <row r="200" spans="5:28" x14ac:dyDescent="0.3">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row>
    <row r="201" spans="5:28" x14ac:dyDescent="0.3">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row>
    <row r="202" spans="5:28" x14ac:dyDescent="0.3">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row>
    <row r="203" spans="5:28" x14ac:dyDescent="0.3">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row>
    <row r="204" spans="5:28" x14ac:dyDescent="0.3">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row>
    <row r="205" spans="5:28" x14ac:dyDescent="0.3">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row>
    <row r="206" spans="5:28" x14ac:dyDescent="0.3">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row>
    <row r="207" spans="5:28" x14ac:dyDescent="0.3">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row>
    <row r="208" spans="5:28" x14ac:dyDescent="0.3">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row>
    <row r="209" spans="5:28" x14ac:dyDescent="0.3">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row>
    <row r="210" spans="5:28" x14ac:dyDescent="0.3">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row>
    <row r="211" spans="5:28" x14ac:dyDescent="0.3">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row>
    <row r="212" spans="5:28" x14ac:dyDescent="0.3">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P30"/>
  <sheetViews>
    <sheetView zoomScale="86" zoomScaleNormal="86" workbookViewId="0">
      <pane xSplit="3" ySplit="4" topLeftCell="Z5" activePane="bottomRight" state="frozen"/>
      <selection pane="topRight" activeCell="D1" sqref="D1"/>
      <selection pane="bottomLeft" activeCell="A5" sqref="A5"/>
      <selection pane="bottomRight" activeCell="AC4" sqref="AC4:AH30"/>
    </sheetView>
  </sheetViews>
  <sheetFormatPr defaultRowHeight="13.8" x14ac:dyDescent="0.3"/>
  <cols>
    <col min="1" max="1" width="8.88671875" style="469"/>
    <col min="2" max="2" width="14.109375" style="469" customWidth="1"/>
    <col min="3" max="3" width="15.33203125" style="469" customWidth="1"/>
    <col min="4" max="6" width="25" style="469" customWidth="1"/>
    <col min="7" max="7" width="8.88671875" style="469"/>
    <col min="8" max="14" width="11.33203125" style="469" customWidth="1"/>
    <col min="15" max="15" width="8.88671875" style="469"/>
    <col min="16" max="17" width="17.5546875" style="469" customWidth="1"/>
    <col min="18" max="20" width="20.5546875" style="469" customWidth="1"/>
    <col min="21" max="21" width="8.88671875" style="469"/>
    <col min="22" max="22" width="14.21875" style="469" customWidth="1"/>
    <col min="23" max="23" width="20.21875" style="469" customWidth="1"/>
    <col min="24" max="26" width="19.77734375" style="469" customWidth="1"/>
    <col min="27" max="27" width="8.88671875" style="469"/>
    <col min="28" max="34" width="17.77734375" style="469" customWidth="1"/>
    <col min="35" max="35" width="8.88671875" style="469"/>
    <col min="36" max="37" width="17.109375" style="469" customWidth="1"/>
    <col min="38" max="42" width="18.44140625" style="469" customWidth="1"/>
    <col min="43" max="16384" width="8.88671875" style="469"/>
  </cols>
  <sheetData>
    <row r="1" spans="2:42" ht="14.4" thickBot="1" x14ac:dyDescent="0.35"/>
    <row r="2" spans="2:42" ht="14.4" thickBot="1" x14ac:dyDescent="0.35">
      <c r="B2" s="795" t="s">
        <v>410</v>
      </c>
      <c r="C2" s="796"/>
      <c r="D2" s="796"/>
      <c r="E2" s="796"/>
      <c r="F2" s="797"/>
      <c r="H2" s="795" t="s">
        <v>409</v>
      </c>
      <c r="I2" s="796"/>
      <c r="J2" s="796"/>
      <c r="K2" s="796"/>
      <c r="L2" s="796"/>
      <c r="M2" s="796"/>
      <c r="N2" s="797"/>
      <c r="P2" s="795" t="s">
        <v>421</v>
      </c>
      <c r="Q2" s="796"/>
      <c r="R2" s="796"/>
      <c r="S2" s="796"/>
      <c r="T2" s="797"/>
      <c r="V2" s="795" t="s">
        <v>427</v>
      </c>
      <c r="W2" s="796"/>
      <c r="X2" s="796"/>
      <c r="Y2" s="796"/>
      <c r="Z2" s="797"/>
      <c r="AB2" s="792" t="s">
        <v>433</v>
      </c>
      <c r="AC2" s="793"/>
      <c r="AD2" s="793"/>
      <c r="AE2" s="793"/>
      <c r="AF2" s="793"/>
      <c r="AG2" s="793"/>
      <c r="AH2" s="794"/>
      <c r="AI2" s="470"/>
      <c r="AJ2" s="792" t="s">
        <v>434</v>
      </c>
      <c r="AK2" s="793"/>
      <c r="AL2" s="793"/>
      <c r="AM2" s="793"/>
      <c r="AN2" s="793"/>
      <c r="AO2" s="793"/>
      <c r="AP2" s="794"/>
    </row>
    <row r="3" spans="2:42" ht="14.4" thickBot="1" x14ac:dyDescent="0.35">
      <c r="B3" s="471" t="s">
        <v>399</v>
      </c>
      <c r="C3" s="472" t="s">
        <v>400</v>
      </c>
      <c r="D3" s="473" t="s">
        <v>401</v>
      </c>
      <c r="E3" s="474" t="s">
        <v>402</v>
      </c>
      <c r="F3" s="475" t="s">
        <v>403</v>
      </c>
      <c r="H3" s="471" t="s">
        <v>399</v>
      </c>
      <c r="I3" s="476" t="s">
        <v>400</v>
      </c>
      <c r="J3" s="473" t="s">
        <v>401</v>
      </c>
      <c r="K3" s="477" t="s">
        <v>402</v>
      </c>
      <c r="L3" s="478" t="s">
        <v>403</v>
      </c>
      <c r="M3" s="474" t="s">
        <v>407</v>
      </c>
      <c r="N3" s="475" t="s">
        <v>408</v>
      </c>
      <c r="P3" s="471" t="s">
        <v>399</v>
      </c>
      <c r="Q3" s="472" t="s">
        <v>400</v>
      </c>
      <c r="R3" s="473" t="s">
        <v>401</v>
      </c>
      <c r="S3" s="474" t="s">
        <v>402</v>
      </c>
      <c r="T3" s="475" t="s">
        <v>403</v>
      </c>
      <c r="V3" s="471" t="s">
        <v>399</v>
      </c>
      <c r="W3" s="472" t="s">
        <v>400</v>
      </c>
      <c r="X3" s="473" t="s">
        <v>401</v>
      </c>
      <c r="Y3" s="474" t="s">
        <v>402</v>
      </c>
      <c r="Z3" s="475" t="s">
        <v>403</v>
      </c>
      <c r="AB3" s="471" t="s">
        <v>399</v>
      </c>
      <c r="AC3" s="476" t="s">
        <v>400</v>
      </c>
      <c r="AD3" s="473" t="s">
        <v>401</v>
      </c>
      <c r="AE3" s="477" t="s">
        <v>402</v>
      </c>
      <c r="AF3" s="479" t="s">
        <v>403</v>
      </c>
      <c r="AG3" s="480" t="s">
        <v>407</v>
      </c>
      <c r="AH3" s="481" t="s">
        <v>408</v>
      </c>
      <c r="AJ3" s="471" t="s">
        <v>399</v>
      </c>
      <c r="AK3" s="476" t="s">
        <v>400</v>
      </c>
      <c r="AL3" s="473" t="s">
        <v>401</v>
      </c>
      <c r="AM3" s="477" t="s">
        <v>402</v>
      </c>
      <c r="AN3" s="479" t="s">
        <v>403</v>
      </c>
      <c r="AO3" s="480" t="s">
        <v>407</v>
      </c>
      <c r="AP3" s="481" t="s">
        <v>408</v>
      </c>
    </row>
    <row r="4" spans="2:42" ht="55.8" thickBot="1" x14ac:dyDescent="0.35">
      <c r="B4" s="482" t="s">
        <v>32</v>
      </c>
      <c r="C4" s="483" t="s">
        <v>404</v>
      </c>
      <c r="D4" s="484" t="s">
        <v>405</v>
      </c>
      <c r="E4" s="485" t="s">
        <v>406</v>
      </c>
      <c r="F4" s="486" t="s">
        <v>420</v>
      </c>
      <c r="H4" s="482" t="s">
        <v>229</v>
      </c>
      <c r="I4" s="487" t="s">
        <v>404</v>
      </c>
      <c r="J4" s="482" t="s">
        <v>412</v>
      </c>
      <c r="K4" s="483" t="s">
        <v>413</v>
      </c>
      <c r="L4" s="484" t="s">
        <v>411</v>
      </c>
      <c r="M4" s="485" t="s">
        <v>415</v>
      </c>
      <c r="N4" s="486" t="s">
        <v>416</v>
      </c>
      <c r="P4" s="482" t="s">
        <v>32</v>
      </c>
      <c r="Q4" s="483" t="s">
        <v>404</v>
      </c>
      <c r="R4" s="484" t="s">
        <v>417</v>
      </c>
      <c r="S4" s="485" t="s">
        <v>418</v>
      </c>
      <c r="T4" s="486" t="s">
        <v>419</v>
      </c>
      <c r="V4" s="482" t="s">
        <v>32</v>
      </c>
      <c r="W4" s="483" t="s">
        <v>404</v>
      </c>
      <c r="X4" s="484" t="s">
        <v>423</v>
      </c>
      <c r="Y4" s="485" t="s">
        <v>424</v>
      </c>
      <c r="Z4" s="486" t="s">
        <v>425</v>
      </c>
      <c r="AB4" s="482" t="s">
        <v>32</v>
      </c>
      <c r="AC4" s="487" t="s">
        <v>404</v>
      </c>
      <c r="AD4" s="482" t="s">
        <v>428</v>
      </c>
      <c r="AE4" s="487" t="s">
        <v>429</v>
      </c>
      <c r="AF4" s="482" t="s">
        <v>430</v>
      </c>
      <c r="AG4" s="485" t="s">
        <v>431</v>
      </c>
      <c r="AH4" s="486" t="s">
        <v>432</v>
      </c>
      <c r="AJ4" s="482" t="s">
        <v>32</v>
      </c>
      <c r="AK4" s="487" t="s">
        <v>404</v>
      </c>
      <c r="AL4" s="482" t="s">
        <v>246</v>
      </c>
      <c r="AM4" s="487" t="s">
        <v>247</v>
      </c>
      <c r="AN4" s="482" t="s">
        <v>248</v>
      </c>
      <c r="AO4" s="485" t="s">
        <v>435</v>
      </c>
      <c r="AP4" s="486" t="s">
        <v>436</v>
      </c>
    </row>
    <row r="5" spans="2:42" x14ac:dyDescent="0.3">
      <c r="B5" s="488">
        <v>0</v>
      </c>
      <c r="C5" s="489">
        <v>2016</v>
      </c>
      <c r="D5" s="490">
        <v>0</v>
      </c>
      <c r="E5" s="491">
        <f>D5/(1.03)^B5</f>
        <v>0</v>
      </c>
      <c r="F5" s="492">
        <f>D5/(1.07)^B5</f>
        <v>0</v>
      </c>
      <c r="H5" s="488">
        <v>0</v>
      </c>
      <c r="I5" s="493">
        <v>2016</v>
      </c>
      <c r="J5" s="494">
        <v>0</v>
      </c>
      <c r="K5" s="492">
        <v>0</v>
      </c>
      <c r="L5" s="490">
        <f>J5+K5</f>
        <v>0</v>
      </c>
      <c r="M5" s="491">
        <f>L5/(1.03)^H5</f>
        <v>0</v>
      </c>
      <c r="N5" s="492">
        <f>L5/(1.07)^H5</f>
        <v>0</v>
      </c>
      <c r="P5" s="488">
        <v>0</v>
      </c>
      <c r="Q5" s="489">
        <v>2016</v>
      </c>
      <c r="R5" s="490">
        <f>Deliverable!J6</f>
        <v>0</v>
      </c>
      <c r="S5" s="491">
        <f>R5/(1.03)^P5</f>
        <v>0</v>
      </c>
      <c r="T5" s="492">
        <f>R5/(1.07)^P5</f>
        <v>0</v>
      </c>
      <c r="V5" s="488">
        <v>0</v>
      </c>
      <c r="W5" s="489">
        <v>2016</v>
      </c>
      <c r="X5" s="490">
        <f>Deliverable!K6</f>
        <v>0</v>
      </c>
      <c r="Y5" s="491">
        <f>X5/(1.03)^V5</f>
        <v>0</v>
      </c>
      <c r="Z5" s="492">
        <f>X5/(1.07)^V5</f>
        <v>0</v>
      </c>
      <c r="AB5" s="488">
        <v>0</v>
      </c>
      <c r="AC5" s="493">
        <v>2016</v>
      </c>
      <c r="AD5" s="494">
        <f>ConstructionCosts!C16</f>
        <v>8614617</v>
      </c>
      <c r="AE5" s="495">
        <v>0</v>
      </c>
      <c r="AF5" s="494">
        <f>AD5+AE5</f>
        <v>8614617</v>
      </c>
      <c r="AG5" s="491">
        <f>AF5/(1.03)^AB5</f>
        <v>8614617</v>
      </c>
      <c r="AH5" s="492">
        <f>AF5/(1.07)^AB5</f>
        <v>8614617</v>
      </c>
      <c r="AJ5" s="488">
        <v>0</v>
      </c>
      <c r="AK5" s="493">
        <v>2016</v>
      </c>
      <c r="AL5" s="494">
        <v>0</v>
      </c>
      <c r="AM5" s="495">
        <f>AF5</f>
        <v>8614617</v>
      </c>
      <c r="AN5" s="627">
        <f>AL5-AM5</f>
        <v>-8614617</v>
      </c>
      <c r="AO5" s="628">
        <f>AN5/(1.03)^AJ5</f>
        <v>-8614617</v>
      </c>
      <c r="AP5" s="629">
        <f>AN5/(1.07)^AJ5</f>
        <v>-8614617</v>
      </c>
    </row>
    <row r="6" spans="2:42" x14ac:dyDescent="0.3">
      <c r="B6" s="496">
        <v>1</v>
      </c>
      <c r="C6" s="497">
        <v>2017</v>
      </c>
      <c r="D6" s="498">
        <f>BCA!E11</f>
        <v>0</v>
      </c>
      <c r="E6" s="499">
        <f t="shared" ref="E6:E29" si="0">D6/(1.03)^B6</f>
        <v>0</v>
      </c>
      <c r="F6" s="500">
        <f t="shared" ref="F6:F29" si="1">D6/(1.07)^B6</f>
        <v>0</v>
      </c>
      <c r="H6" s="496">
        <v>1</v>
      </c>
      <c r="I6" s="501">
        <v>2017</v>
      </c>
      <c r="J6" s="502">
        <f>BCA!E12</f>
        <v>0</v>
      </c>
      <c r="K6" s="500">
        <f>BCA!E13</f>
        <v>0</v>
      </c>
      <c r="L6" s="490">
        <f t="shared" ref="L6:L29" si="2">J6+K6</f>
        <v>0</v>
      </c>
      <c r="M6" s="499">
        <f t="shared" ref="M6:M29" si="3">L6/(1.03)^H6</f>
        <v>0</v>
      </c>
      <c r="N6" s="500">
        <f t="shared" ref="N6:N29" si="4">L6/(1.07)^H6</f>
        <v>0</v>
      </c>
      <c r="P6" s="496">
        <v>1</v>
      </c>
      <c r="Q6" s="497">
        <v>2017</v>
      </c>
      <c r="R6" s="490">
        <f>BCA!E14</f>
        <v>0</v>
      </c>
      <c r="S6" s="499">
        <f t="shared" ref="S6:S29" si="5">R6/(1.03)^P6</f>
        <v>0</v>
      </c>
      <c r="T6" s="500">
        <f t="shared" ref="T6:T29" si="6">R6/(1.07)^P6</f>
        <v>0</v>
      </c>
      <c r="V6" s="496">
        <v>1</v>
      </c>
      <c r="W6" s="497">
        <v>2017</v>
      </c>
      <c r="X6" s="490">
        <f>BCA!E15</f>
        <v>0</v>
      </c>
      <c r="Y6" s="499">
        <f t="shared" ref="Y6:Y29" si="7">X6/(1.03)^V6</f>
        <v>0</v>
      </c>
      <c r="Z6" s="500">
        <f t="shared" ref="Z6:Z29" si="8">X6/(1.07)^V6</f>
        <v>0</v>
      </c>
      <c r="AB6" s="496">
        <v>1</v>
      </c>
      <c r="AC6" s="501">
        <v>2017</v>
      </c>
      <c r="AD6" s="502">
        <f>BCA!E18</f>
        <v>925956</v>
      </c>
      <c r="AE6" s="495">
        <f>BCA!E19</f>
        <v>0</v>
      </c>
      <c r="AF6" s="502">
        <f t="shared" ref="AF6:AF29" si="9">AD6+AE6</f>
        <v>925956</v>
      </c>
      <c r="AG6" s="499">
        <f t="shared" ref="AG6:AG29" si="10">AF6/(1.03)^AB6</f>
        <v>898986.40776699025</v>
      </c>
      <c r="AH6" s="500">
        <f t="shared" ref="AH6:AH29" si="11">AF6/(1.07)^AB6</f>
        <v>865379.43925233639</v>
      </c>
      <c r="AJ6" s="496">
        <v>1</v>
      </c>
      <c r="AK6" s="501">
        <v>2017</v>
      </c>
      <c r="AL6" s="494">
        <f>BCA!E16</f>
        <v>0</v>
      </c>
      <c r="AM6" s="495">
        <f>BCA!E20</f>
        <v>925956</v>
      </c>
      <c r="AN6" s="494">
        <f t="shared" ref="AN6:AN29" si="12">AL6-AM6</f>
        <v>-925956</v>
      </c>
      <c r="AO6" s="499">
        <f t="shared" ref="AO6:AO29" si="13">AN6/(1.03)^AJ6</f>
        <v>-898986.40776699025</v>
      </c>
      <c r="AP6" s="500">
        <f t="shared" ref="AP6:AP29" si="14">AN6/(1.07)^AJ6</f>
        <v>-865379.43925233639</v>
      </c>
    </row>
    <row r="7" spans="2:42" x14ac:dyDescent="0.3">
      <c r="B7" s="496">
        <v>2</v>
      </c>
      <c r="C7" s="497">
        <v>2018</v>
      </c>
      <c r="D7" s="498">
        <f>BCA!F11</f>
        <v>0</v>
      </c>
      <c r="E7" s="499">
        <f t="shared" si="0"/>
        <v>0</v>
      </c>
      <c r="F7" s="500">
        <f t="shared" si="1"/>
        <v>0</v>
      </c>
      <c r="H7" s="496">
        <v>2</v>
      </c>
      <c r="I7" s="501">
        <v>2018</v>
      </c>
      <c r="J7" s="502">
        <f>BCA!F12</f>
        <v>0</v>
      </c>
      <c r="K7" s="500">
        <f>BCA!F13</f>
        <v>0</v>
      </c>
      <c r="L7" s="490">
        <f t="shared" si="2"/>
        <v>0</v>
      </c>
      <c r="M7" s="499">
        <f t="shared" si="3"/>
        <v>0</v>
      </c>
      <c r="N7" s="500">
        <f t="shared" si="4"/>
        <v>0</v>
      </c>
      <c r="P7" s="496">
        <v>2</v>
      </c>
      <c r="Q7" s="497">
        <v>2018</v>
      </c>
      <c r="R7" s="490">
        <f>BCA!F14</f>
        <v>0</v>
      </c>
      <c r="S7" s="499">
        <f t="shared" si="5"/>
        <v>0</v>
      </c>
      <c r="T7" s="500">
        <f t="shared" si="6"/>
        <v>0</v>
      </c>
      <c r="V7" s="496">
        <v>2</v>
      </c>
      <c r="W7" s="497">
        <v>2018</v>
      </c>
      <c r="X7" s="490">
        <f>BCA!F15</f>
        <v>0</v>
      </c>
      <c r="Y7" s="499">
        <f t="shared" si="7"/>
        <v>0</v>
      </c>
      <c r="Z7" s="500">
        <f t="shared" si="8"/>
        <v>0</v>
      </c>
      <c r="AB7" s="496">
        <v>2</v>
      </c>
      <c r="AC7" s="501">
        <v>2018</v>
      </c>
      <c r="AD7" s="502">
        <f>BCA!F18</f>
        <v>39874765.666666672</v>
      </c>
      <c r="AE7" s="495">
        <f>BCA!F19</f>
        <v>0</v>
      </c>
      <c r="AF7" s="502">
        <f t="shared" si="9"/>
        <v>39874765.666666672</v>
      </c>
      <c r="AG7" s="499">
        <f t="shared" si="10"/>
        <v>37585790.99506709</v>
      </c>
      <c r="AH7" s="500">
        <f t="shared" si="11"/>
        <v>34828164.614085659</v>
      </c>
      <c r="AJ7" s="496">
        <v>2</v>
      </c>
      <c r="AK7" s="501">
        <v>2018</v>
      </c>
      <c r="AL7" s="494">
        <f>BCA!F16</f>
        <v>0</v>
      </c>
      <c r="AM7" s="495">
        <f>BCA!F20</f>
        <v>39874765.666666672</v>
      </c>
      <c r="AN7" s="494">
        <f t="shared" si="12"/>
        <v>-39874765.666666672</v>
      </c>
      <c r="AO7" s="499">
        <f t="shared" si="13"/>
        <v>-37585790.99506709</v>
      </c>
      <c r="AP7" s="500">
        <f t="shared" si="14"/>
        <v>-34828164.614085659</v>
      </c>
    </row>
    <row r="8" spans="2:42" x14ac:dyDescent="0.3">
      <c r="B8" s="496">
        <v>3</v>
      </c>
      <c r="C8" s="497">
        <v>2019</v>
      </c>
      <c r="D8" s="498">
        <f>BCA!G11</f>
        <v>0</v>
      </c>
      <c r="E8" s="499">
        <f t="shared" si="0"/>
        <v>0</v>
      </c>
      <c r="F8" s="500">
        <f t="shared" si="1"/>
        <v>0</v>
      </c>
      <c r="H8" s="496">
        <v>3</v>
      </c>
      <c r="I8" s="501">
        <v>2019</v>
      </c>
      <c r="J8" s="502">
        <f>BCA!G12</f>
        <v>0</v>
      </c>
      <c r="K8" s="500">
        <f>BCA!G13</f>
        <v>0</v>
      </c>
      <c r="L8" s="490">
        <f t="shared" si="2"/>
        <v>0</v>
      </c>
      <c r="M8" s="499">
        <f t="shared" si="3"/>
        <v>0</v>
      </c>
      <c r="N8" s="500">
        <f t="shared" si="4"/>
        <v>0</v>
      </c>
      <c r="P8" s="496">
        <v>3</v>
      </c>
      <c r="Q8" s="497">
        <v>2019</v>
      </c>
      <c r="R8" s="490">
        <f>BCA!G14</f>
        <v>0</v>
      </c>
      <c r="S8" s="499">
        <f t="shared" si="5"/>
        <v>0</v>
      </c>
      <c r="T8" s="500">
        <f t="shared" si="6"/>
        <v>0</v>
      </c>
      <c r="V8" s="496">
        <v>3</v>
      </c>
      <c r="W8" s="497">
        <v>2019</v>
      </c>
      <c r="X8" s="490">
        <f>BCA!G15</f>
        <v>0</v>
      </c>
      <c r="Y8" s="499">
        <f t="shared" si="7"/>
        <v>0</v>
      </c>
      <c r="Z8" s="500">
        <f t="shared" si="8"/>
        <v>0</v>
      </c>
      <c r="AB8" s="496">
        <v>3</v>
      </c>
      <c r="AC8" s="501">
        <v>2019</v>
      </c>
      <c r="AD8" s="502">
        <f>BCA!G18</f>
        <v>39874765.666666672</v>
      </c>
      <c r="AE8" s="495">
        <f>BCA!G19</f>
        <v>0</v>
      </c>
      <c r="AF8" s="502">
        <f t="shared" si="9"/>
        <v>39874765.666666672</v>
      </c>
      <c r="AG8" s="499">
        <f t="shared" si="10"/>
        <v>36491059.21851173</v>
      </c>
      <c r="AH8" s="500">
        <f t="shared" si="11"/>
        <v>32549686.555220239</v>
      </c>
      <c r="AJ8" s="496">
        <v>3</v>
      </c>
      <c r="AK8" s="501">
        <v>2019</v>
      </c>
      <c r="AL8" s="494">
        <f>BCA!G16</f>
        <v>0</v>
      </c>
      <c r="AM8" s="495">
        <f>BCA!G20</f>
        <v>39874765.666666672</v>
      </c>
      <c r="AN8" s="494">
        <f t="shared" si="12"/>
        <v>-39874765.666666672</v>
      </c>
      <c r="AO8" s="499">
        <f t="shared" si="13"/>
        <v>-36491059.21851173</v>
      </c>
      <c r="AP8" s="500">
        <f t="shared" si="14"/>
        <v>-32549686.555220239</v>
      </c>
    </row>
    <row r="9" spans="2:42" x14ac:dyDescent="0.3">
      <c r="B9" s="496">
        <v>4</v>
      </c>
      <c r="C9" s="497">
        <v>2020</v>
      </c>
      <c r="D9" s="498">
        <f>BCA!H11</f>
        <v>4929137.166888888</v>
      </c>
      <c r="E9" s="499">
        <f t="shared" si="0"/>
        <v>4379474.5301806107</v>
      </c>
      <c r="F9" s="500">
        <f t="shared" si="1"/>
        <v>3760415.1441450361</v>
      </c>
      <c r="H9" s="496">
        <v>4</v>
      </c>
      <c r="I9" s="501">
        <v>2020</v>
      </c>
      <c r="J9" s="502">
        <f>BCA!H12</f>
        <v>945645.80934417422</v>
      </c>
      <c r="K9" s="500">
        <f>BCA!H13</f>
        <v>1301390.4519642214</v>
      </c>
      <c r="L9" s="490">
        <f t="shared" si="2"/>
        <v>2247036.2613083958</v>
      </c>
      <c r="M9" s="499">
        <f>L9/(1.03)^H9</f>
        <v>1996462.6143694033</v>
      </c>
      <c r="N9" s="500">
        <f>L9/(1.07)^H9</f>
        <v>1714253.2050493469</v>
      </c>
      <c r="P9" s="496">
        <v>4</v>
      </c>
      <c r="Q9" s="497">
        <v>2020</v>
      </c>
      <c r="R9" s="490">
        <f>BCA!H14</f>
        <v>2993068.7081280053</v>
      </c>
      <c r="S9" s="499">
        <f t="shared" si="5"/>
        <v>2659302.7806934761</v>
      </c>
      <c r="T9" s="500">
        <f t="shared" si="6"/>
        <v>2283397.7867601272</v>
      </c>
      <c r="V9" s="496">
        <v>4</v>
      </c>
      <c r="W9" s="497">
        <v>2020</v>
      </c>
      <c r="X9" s="490">
        <f>BCA!H15</f>
        <v>659142.38848958118</v>
      </c>
      <c r="Y9" s="499">
        <f t="shared" si="7"/>
        <v>585639.47490520414</v>
      </c>
      <c r="Z9" s="500">
        <f t="shared" si="8"/>
        <v>502856.57223627128</v>
      </c>
      <c r="AB9" s="496">
        <v>4</v>
      </c>
      <c r="AC9" s="501">
        <v>2020</v>
      </c>
      <c r="AD9" s="502">
        <f>BCA!H18</f>
        <v>39874765.666666672</v>
      </c>
      <c r="AE9" s="495">
        <f>BCA!H19</f>
        <v>0</v>
      </c>
      <c r="AF9" s="502">
        <f t="shared" si="9"/>
        <v>39874765.666666672</v>
      </c>
      <c r="AG9" s="499">
        <f t="shared" si="10"/>
        <v>35428212.833506539</v>
      </c>
      <c r="AH9" s="500">
        <f t="shared" si="11"/>
        <v>30420267.808617048</v>
      </c>
      <c r="AJ9" s="496">
        <v>4</v>
      </c>
      <c r="AK9" s="501">
        <v>2020</v>
      </c>
      <c r="AL9" s="494">
        <f>BCA!H16</f>
        <v>10828384.52481487</v>
      </c>
      <c r="AM9" s="495">
        <f>BCA!H20</f>
        <v>39874765.666666672</v>
      </c>
      <c r="AN9" s="494">
        <f t="shared" si="12"/>
        <v>-29046381.141851801</v>
      </c>
      <c r="AO9" s="499">
        <f t="shared" si="13"/>
        <v>-25807333.433357846</v>
      </c>
      <c r="AP9" s="500">
        <f t="shared" si="14"/>
        <v>-22159345.100426268</v>
      </c>
    </row>
    <row r="10" spans="2:42" x14ac:dyDescent="0.3">
      <c r="B10" s="496">
        <v>5</v>
      </c>
      <c r="C10" s="497">
        <v>2021</v>
      </c>
      <c r="D10" s="498">
        <f>BCA!I11</f>
        <v>5260910.9669999992</v>
      </c>
      <c r="E10" s="499">
        <f t="shared" si="0"/>
        <v>4538108.0139971869</v>
      </c>
      <c r="F10" s="500">
        <f t="shared" si="1"/>
        <v>3750956.8109650607</v>
      </c>
      <c r="H10" s="496">
        <v>5</v>
      </c>
      <c r="I10" s="501">
        <v>2021</v>
      </c>
      <c r="J10" s="502">
        <f>BCA!I12</f>
        <v>1014360.9757130002</v>
      </c>
      <c r="K10" s="500">
        <f>BCA!I13</f>
        <v>1393740.9583516358</v>
      </c>
      <c r="L10" s="490">
        <f t="shared" si="2"/>
        <v>2408101.934064636</v>
      </c>
      <c r="M10" s="499">
        <f t="shared" si="3"/>
        <v>2077249.8820166502</v>
      </c>
      <c r="N10" s="500">
        <f t="shared" si="4"/>
        <v>1716943.3977759774</v>
      </c>
      <c r="P10" s="496">
        <v>5</v>
      </c>
      <c r="Q10" s="497">
        <v>2021</v>
      </c>
      <c r="R10" s="490">
        <f>BCA!I14</f>
        <v>3121109.2205277011</v>
      </c>
      <c r="S10" s="499">
        <f t="shared" si="5"/>
        <v>2692296.2306496063</v>
      </c>
      <c r="T10" s="500">
        <f t="shared" si="6"/>
        <v>2225307.7388952957</v>
      </c>
      <c r="V10" s="496">
        <v>5</v>
      </c>
      <c r="W10" s="497">
        <v>2021</v>
      </c>
      <c r="X10" s="490">
        <f>BCA!I15</f>
        <v>707775.5811561672</v>
      </c>
      <c r="Y10" s="499">
        <f t="shared" si="7"/>
        <v>610533.43367791665</v>
      </c>
      <c r="Z10" s="500">
        <f t="shared" si="8"/>
        <v>504634.20754036872</v>
      </c>
      <c r="AB10" s="496">
        <v>5</v>
      </c>
      <c r="AC10" s="501">
        <v>2021</v>
      </c>
      <c r="AD10" s="502">
        <f>BCA!I18</f>
        <v>0</v>
      </c>
      <c r="AE10" s="495">
        <f>BCA!I19</f>
        <v>39034.297276417034</v>
      </c>
      <c r="AF10" s="502">
        <f t="shared" si="9"/>
        <v>39034.297276417034</v>
      </c>
      <c r="AG10" s="499">
        <f t="shared" si="10"/>
        <v>33671.327722900183</v>
      </c>
      <c r="AH10" s="500">
        <f t="shared" si="11"/>
        <v>27830.914483942342</v>
      </c>
      <c r="AJ10" s="496">
        <v>5</v>
      </c>
      <c r="AK10" s="501">
        <v>2021</v>
      </c>
      <c r="AL10" s="494">
        <f>BCA!I16</f>
        <v>11497897.702748504</v>
      </c>
      <c r="AM10" s="495">
        <f>BCA!I20</f>
        <v>39034.297276417034</v>
      </c>
      <c r="AN10" s="494">
        <f t="shared" si="12"/>
        <v>11458863.405472087</v>
      </c>
      <c r="AO10" s="499">
        <f t="shared" si="13"/>
        <v>9884516.2326184604</v>
      </c>
      <c r="AP10" s="500">
        <f t="shared" si="14"/>
        <v>8170011.2406927608</v>
      </c>
    </row>
    <row r="11" spans="2:42" x14ac:dyDescent="0.3">
      <c r="B11" s="496">
        <v>6</v>
      </c>
      <c r="C11" s="497">
        <v>2022</v>
      </c>
      <c r="D11" s="498">
        <f>BCA!J11</f>
        <v>5592684.7671111105</v>
      </c>
      <c r="E11" s="499">
        <f t="shared" si="0"/>
        <v>4683785.4450500449</v>
      </c>
      <c r="F11" s="500">
        <f t="shared" si="1"/>
        <v>3726642.004821552</v>
      </c>
      <c r="H11" s="496">
        <v>6</v>
      </c>
      <c r="I11" s="501">
        <v>2022</v>
      </c>
      <c r="J11" s="502">
        <f>BCA!J12</f>
        <v>1083076.142081826</v>
      </c>
      <c r="K11" s="500">
        <f>BCA!J13</f>
        <v>1486091.4647390507</v>
      </c>
      <c r="L11" s="490">
        <f t="shared" si="2"/>
        <v>2569167.6068208767</v>
      </c>
      <c r="M11" s="499">
        <f t="shared" si="3"/>
        <v>2151637.4234941052</v>
      </c>
      <c r="N11" s="500">
        <f t="shared" si="4"/>
        <v>1711944.8564863706</v>
      </c>
      <c r="P11" s="496">
        <v>6</v>
      </c>
      <c r="Q11" s="497">
        <v>2022</v>
      </c>
      <c r="R11" s="490">
        <f>BCA!J14</f>
        <v>3249149.7329274006</v>
      </c>
      <c r="S11" s="499">
        <f t="shared" si="5"/>
        <v>2721111.7489345982</v>
      </c>
      <c r="T11" s="500">
        <f t="shared" si="6"/>
        <v>2165045.658551672</v>
      </c>
      <c r="V11" s="496">
        <v>6</v>
      </c>
      <c r="W11" s="497">
        <v>2022</v>
      </c>
      <c r="X11" s="490">
        <f>BCA!J15</f>
        <v>762269.35832175903</v>
      </c>
      <c r="Y11" s="499">
        <f t="shared" si="7"/>
        <v>638388.58694682457</v>
      </c>
      <c r="Z11" s="500">
        <f t="shared" si="8"/>
        <v>507932.25937130692</v>
      </c>
      <c r="AB11" s="496">
        <v>6</v>
      </c>
      <c r="AC11" s="501">
        <v>2022</v>
      </c>
      <c r="AD11" s="502">
        <v>0</v>
      </c>
      <c r="AE11" s="495">
        <f>BCA!J19</f>
        <v>39034.297276417034</v>
      </c>
      <c r="AF11" s="502">
        <f t="shared" si="9"/>
        <v>39034.297276417034</v>
      </c>
      <c r="AG11" s="499">
        <f t="shared" si="10"/>
        <v>32690.609439708915</v>
      </c>
      <c r="AH11" s="500">
        <f t="shared" si="11"/>
        <v>26010.200452282566</v>
      </c>
      <c r="AJ11" s="496">
        <v>6</v>
      </c>
      <c r="AK11" s="501">
        <v>2022</v>
      </c>
      <c r="AL11" s="494">
        <f>BCA!J16</f>
        <v>12173271.465181148</v>
      </c>
      <c r="AM11" s="495">
        <f>BCA!J20</f>
        <v>39034.297276417034</v>
      </c>
      <c r="AN11" s="494">
        <f t="shared" si="12"/>
        <v>12134237.167904731</v>
      </c>
      <c r="AO11" s="499">
        <f t="shared" si="13"/>
        <v>10162232.594985865</v>
      </c>
      <c r="AP11" s="500">
        <f t="shared" si="14"/>
        <v>8085554.5787786189</v>
      </c>
    </row>
    <row r="12" spans="2:42" x14ac:dyDescent="0.3">
      <c r="B12" s="496">
        <v>7</v>
      </c>
      <c r="C12" s="497">
        <v>2023</v>
      </c>
      <c r="D12" s="498">
        <f>BCA!K11</f>
        <v>5924458.5672222208</v>
      </c>
      <c r="E12" s="499">
        <f t="shared" si="0"/>
        <v>4817126.9703137958</v>
      </c>
      <c r="F12" s="500">
        <f t="shared" si="1"/>
        <v>3689455.0435435926</v>
      </c>
      <c r="H12" s="496">
        <v>7</v>
      </c>
      <c r="I12" s="501">
        <v>2023</v>
      </c>
      <c r="J12" s="502">
        <f>BCA!K12</f>
        <v>1151791.3084506518</v>
      </c>
      <c r="K12" s="500">
        <f>BCA!K13</f>
        <v>1578441.9711264651</v>
      </c>
      <c r="L12" s="490">
        <f t="shared" si="2"/>
        <v>2730233.2795771169</v>
      </c>
      <c r="M12" s="499">
        <f t="shared" si="3"/>
        <v>2219929.5036112792</v>
      </c>
      <c r="N12" s="500">
        <f t="shared" si="4"/>
        <v>1700252.0701413702</v>
      </c>
      <c r="P12" s="496">
        <v>7</v>
      </c>
      <c r="Q12" s="497">
        <v>2023</v>
      </c>
      <c r="R12" s="490">
        <f>BCA!K14</f>
        <v>3377190.2453271002</v>
      </c>
      <c r="S12" s="499">
        <f t="shared" si="5"/>
        <v>2745964.7206670437</v>
      </c>
      <c r="T12" s="500">
        <f t="shared" si="6"/>
        <v>2103144.3535726108</v>
      </c>
      <c r="V12" s="496">
        <v>7</v>
      </c>
      <c r="W12" s="497">
        <v>2023</v>
      </c>
      <c r="X12" s="490">
        <f>BCA!K15</f>
        <v>823716.47015526949</v>
      </c>
      <c r="Y12" s="499">
        <f t="shared" si="7"/>
        <v>669756.86963696056</v>
      </c>
      <c r="Z12" s="500">
        <f t="shared" si="8"/>
        <v>512969.2191752806</v>
      </c>
      <c r="AB12" s="496">
        <v>7</v>
      </c>
      <c r="AC12" s="501">
        <v>2023</v>
      </c>
      <c r="AD12" s="502">
        <v>0</v>
      </c>
      <c r="AE12" s="495">
        <f>BCA!K19</f>
        <v>39034.297276417034</v>
      </c>
      <c r="AF12" s="502">
        <f t="shared" si="9"/>
        <v>39034.297276417034</v>
      </c>
      <c r="AG12" s="499">
        <f t="shared" si="10"/>
        <v>31738.455766707684</v>
      </c>
      <c r="AH12" s="500">
        <f t="shared" si="11"/>
        <v>24308.598553535106</v>
      </c>
      <c r="AJ12" s="496">
        <v>7</v>
      </c>
      <c r="AK12" s="501">
        <v>2023</v>
      </c>
      <c r="AL12" s="494">
        <f>BCA!K16</f>
        <v>12855598.562281707</v>
      </c>
      <c r="AM12" s="495">
        <f>BCA!K20</f>
        <v>39034.297276417034</v>
      </c>
      <c r="AN12" s="494">
        <f t="shared" si="12"/>
        <v>12816564.265005291</v>
      </c>
      <c r="AO12" s="499">
        <f t="shared" si="13"/>
        <v>10421039.608462371</v>
      </c>
      <c r="AP12" s="500">
        <f t="shared" si="14"/>
        <v>7981512.0878793187</v>
      </c>
    </row>
    <row r="13" spans="2:42" x14ac:dyDescent="0.3">
      <c r="B13" s="496">
        <v>8</v>
      </c>
      <c r="C13" s="497">
        <v>2024</v>
      </c>
      <c r="D13" s="498">
        <f>BCA!L11</f>
        <v>6256232.3673333311</v>
      </c>
      <c r="E13" s="499">
        <f t="shared" si="0"/>
        <v>4938727.6027866667</v>
      </c>
      <c r="F13" s="500">
        <f t="shared" si="1"/>
        <v>3641184.1980624828</v>
      </c>
      <c r="H13" s="496">
        <v>8</v>
      </c>
      <c r="I13" s="501">
        <v>2024</v>
      </c>
      <c r="J13" s="502">
        <f>BCA!L12</f>
        <v>1220506.4748194779</v>
      </c>
      <c r="K13" s="500">
        <f>BCA!L13</f>
        <v>1670792.4775138795</v>
      </c>
      <c r="L13" s="490">
        <f t="shared" si="2"/>
        <v>2891298.9523333572</v>
      </c>
      <c r="M13" s="499">
        <f t="shared" si="3"/>
        <v>2282418.09213416</v>
      </c>
      <c r="N13" s="500">
        <f t="shared" si="4"/>
        <v>1682762.3142773709</v>
      </c>
      <c r="P13" s="496">
        <v>8</v>
      </c>
      <c r="Q13" s="497">
        <v>2024</v>
      </c>
      <c r="R13" s="490">
        <f>BCA!L14</f>
        <v>3505230.7577268071</v>
      </c>
      <c r="S13" s="499">
        <f t="shared" si="5"/>
        <v>2767061.5285507757</v>
      </c>
      <c r="T13" s="500">
        <f t="shared" si="6"/>
        <v>2040076.2145984103</v>
      </c>
      <c r="V13" s="496">
        <v>8</v>
      </c>
      <c r="W13" s="497">
        <v>2024</v>
      </c>
      <c r="X13" s="490">
        <f>BCA!L15</f>
        <v>880031.49760238174</v>
      </c>
      <c r="Y13" s="499">
        <f t="shared" si="7"/>
        <v>694704.99069444241</v>
      </c>
      <c r="Z13" s="500">
        <f t="shared" si="8"/>
        <v>512186.34390859195</v>
      </c>
      <c r="AB13" s="496">
        <v>8</v>
      </c>
      <c r="AC13" s="501">
        <v>2024</v>
      </c>
      <c r="AD13" s="502">
        <v>0</v>
      </c>
      <c r="AE13" s="495">
        <f>BCA!L19</f>
        <v>39034.297276417034</v>
      </c>
      <c r="AF13" s="502">
        <f t="shared" si="9"/>
        <v>39034.297276417034</v>
      </c>
      <c r="AG13" s="499">
        <f t="shared" si="10"/>
        <v>30814.034724958918</v>
      </c>
      <c r="AH13" s="500">
        <f t="shared" si="11"/>
        <v>22718.316405172995</v>
      </c>
      <c r="AJ13" s="496">
        <v>8</v>
      </c>
      <c r="AK13" s="501">
        <v>2024</v>
      </c>
      <c r="AL13" s="494">
        <f>BCA!L16</f>
        <v>13532793.574995875</v>
      </c>
      <c r="AM13" s="495">
        <f>BCA!L20</f>
        <v>39034.297276417034</v>
      </c>
      <c r="AN13" s="494">
        <f t="shared" si="12"/>
        <v>13493759.277719459</v>
      </c>
      <c r="AO13" s="499">
        <f t="shared" si="13"/>
        <v>10652098.179441085</v>
      </c>
      <c r="AP13" s="500">
        <f t="shared" si="14"/>
        <v>7853490.7544416822</v>
      </c>
    </row>
    <row r="14" spans="2:42" x14ac:dyDescent="0.3">
      <c r="B14" s="496">
        <v>9</v>
      </c>
      <c r="C14" s="497">
        <v>2025</v>
      </c>
      <c r="D14" s="498">
        <f>BCA!M11</f>
        <v>6588006.1674444424</v>
      </c>
      <c r="E14" s="499">
        <f t="shared" si="0"/>
        <v>5049158.1595124304</v>
      </c>
      <c r="F14" s="500">
        <f t="shared" si="1"/>
        <v>3583438.8508255049</v>
      </c>
      <c r="H14" s="496">
        <v>9</v>
      </c>
      <c r="I14" s="501">
        <v>2025</v>
      </c>
      <c r="J14" s="502">
        <f>BCA!M12</f>
        <v>1289221.6411883037</v>
      </c>
      <c r="K14" s="500">
        <f>BCA!M13</f>
        <v>1763142.9839012942</v>
      </c>
      <c r="L14" s="490">
        <f t="shared" si="2"/>
        <v>3052364.6250895979</v>
      </c>
      <c r="M14" s="499">
        <f t="shared" si="3"/>
        <v>2339383.3218824496</v>
      </c>
      <c r="N14" s="500">
        <f t="shared" si="4"/>
        <v>1660284.1142564449</v>
      </c>
      <c r="P14" s="496">
        <v>9</v>
      </c>
      <c r="Q14" s="497">
        <v>2025</v>
      </c>
      <c r="R14" s="490">
        <f>BCA!M14</f>
        <v>3633271.270126503</v>
      </c>
      <c r="S14" s="499">
        <f t="shared" si="5"/>
        <v>2784599.8945683334</v>
      </c>
      <c r="T14" s="500">
        <f t="shared" si="6"/>
        <v>1976258.8397833698</v>
      </c>
      <c r="V14" s="496">
        <v>9</v>
      </c>
      <c r="W14" s="497">
        <v>2025</v>
      </c>
      <c r="X14" s="490">
        <f>BCA!M15</f>
        <v>937075.02516210242</v>
      </c>
      <c r="Y14" s="499">
        <f t="shared" si="7"/>
        <v>718189.97874556051</v>
      </c>
      <c r="Z14" s="500">
        <f t="shared" si="8"/>
        <v>509706.72551855701</v>
      </c>
      <c r="AB14" s="496">
        <v>9</v>
      </c>
      <c r="AC14" s="501">
        <v>2025</v>
      </c>
      <c r="AD14" s="502">
        <v>0</v>
      </c>
      <c r="AE14" s="495">
        <f>BCA!M19</f>
        <v>39034.297276417034</v>
      </c>
      <c r="AF14" s="502">
        <f t="shared" si="9"/>
        <v>39034.297276417034</v>
      </c>
      <c r="AG14" s="499">
        <f t="shared" si="10"/>
        <v>29916.538567921281</v>
      </c>
      <c r="AH14" s="500">
        <f t="shared" si="11"/>
        <v>21232.071406703733</v>
      </c>
      <c r="AJ14" s="496">
        <v>9</v>
      </c>
      <c r="AK14" s="501">
        <v>2025</v>
      </c>
      <c r="AL14" s="494">
        <f>BCA!M16</f>
        <v>14210717.087822646</v>
      </c>
      <c r="AM14" s="495">
        <f>BCA!M20</f>
        <v>39034.297276417034</v>
      </c>
      <c r="AN14" s="494">
        <f t="shared" si="12"/>
        <v>14171682.790546229</v>
      </c>
      <c r="AO14" s="499">
        <f t="shared" si="13"/>
        <v>10861414.816140853</v>
      </c>
      <c r="AP14" s="500">
        <f t="shared" si="14"/>
        <v>7708456.4589771731</v>
      </c>
    </row>
    <row r="15" spans="2:42" x14ac:dyDescent="0.3">
      <c r="B15" s="496">
        <v>10</v>
      </c>
      <c r="C15" s="497">
        <v>2026</v>
      </c>
      <c r="D15" s="498">
        <f>BCA!N11</f>
        <v>6919779.9675555527</v>
      </c>
      <c r="E15" s="499">
        <f t="shared" si="0"/>
        <v>5148966.1662823455</v>
      </c>
      <c r="F15" s="500">
        <f t="shared" si="1"/>
        <v>3517665.2482348657</v>
      </c>
      <c r="H15" s="496">
        <v>10</v>
      </c>
      <c r="I15" s="501">
        <v>2026</v>
      </c>
      <c r="J15" s="502">
        <f>BCA!N12</f>
        <v>1357936.8075571298</v>
      </c>
      <c r="K15" s="500">
        <f>BCA!N13</f>
        <v>1855493.4902887088</v>
      </c>
      <c r="L15" s="490">
        <f t="shared" si="2"/>
        <v>3213430.2978458386</v>
      </c>
      <c r="M15" s="499">
        <f t="shared" si="3"/>
        <v>2391093.9305718597</v>
      </c>
      <c r="N15" s="500">
        <f t="shared" si="4"/>
        <v>1633545.0172341873</v>
      </c>
      <c r="P15" s="496">
        <v>10</v>
      </c>
      <c r="Q15" s="497">
        <v>2026</v>
      </c>
      <c r="R15" s="490">
        <f>BCA!N14</f>
        <v>3761311.7825261988</v>
      </c>
      <c r="S15" s="499">
        <f t="shared" si="5"/>
        <v>2798769.2094070991</v>
      </c>
      <c r="T15" s="500">
        <f t="shared" si="6"/>
        <v>1912060.1821451667</v>
      </c>
      <c r="V15" s="496">
        <v>10</v>
      </c>
      <c r="W15" s="497">
        <v>2026</v>
      </c>
      <c r="X15" s="490">
        <f>BCA!N15</f>
        <v>994847.05283443141</v>
      </c>
      <c r="Y15" s="499">
        <f t="shared" si="7"/>
        <v>740259.6382670413</v>
      </c>
      <c r="Z15" s="500">
        <f t="shared" si="8"/>
        <v>505729.7950906934</v>
      </c>
      <c r="AB15" s="496">
        <v>10</v>
      </c>
      <c r="AC15" s="501">
        <v>2026</v>
      </c>
      <c r="AD15" s="502">
        <v>0</v>
      </c>
      <c r="AE15" s="495">
        <f>BCA!N19</f>
        <v>39034.297276417034</v>
      </c>
      <c r="AF15" s="502">
        <f t="shared" si="9"/>
        <v>39034.297276417034</v>
      </c>
      <c r="AG15" s="499">
        <f t="shared" si="10"/>
        <v>29045.183075651727</v>
      </c>
      <c r="AH15" s="500">
        <f t="shared" si="11"/>
        <v>19843.057389442743</v>
      </c>
      <c r="AJ15" s="496">
        <v>10</v>
      </c>
      <c r="AK15" s="501">
        <v>2026</v>
      </c>
      <c r="AL15" s="494">
        <f>BCA!N16</f>
        <v>14889369.100762021</v>
      </c>
      <c r="AM15" s="495">
        <f>BCA!N20</f>
        <v>39034.297276417034</v>
      </c>
      <c r="AN15" s="494">
        <f t="shared" si="12"/>
        <v>14850334.803485604</v>
      </c>
      <c r="AO15" s="499">
        <f t="shared" si="13"/>
        <v>11050043.761452693</v>
      </c>
      <c r="AP15" s="500">
        <f t="shared" si="14"/>
        <v>7549157.1853154702</v>
      </c>
    </row>
    <row r="16" spans="2:42" x14ac:dyDescent="0.3">
      <c r="B16" s="496">
        <v>11</v>
      </c>
      <c r="C16" s="497">
        <v>2027</v>
      </c>
      <c r="D16" s="498">
        <f>BCA!O11</f>
        <v>7251553.767666664</v>
      </c>
      <c r="E16" s="499">
        <f t="shared" si="0"/>
        <v>5238676.730162316</v>
      </c>
      <c r="F16" s="500">
        <f t="shared" si="1"/>
        <v>3445160.9576356951</v>
      </c>
      <c r="H16" s="496">
        <v>11</v>
      </c>
      <c r="I16" s="501">
        <v>2027</v>
      </c>
      <c r="J16" s="502">
        <f>BCA!O12</f>
        <v>1426651.9739259556</v>
      </c>
      <c r="K16" s="500">
        <f>BCA!O13</f>
        <v>1947843.9966761232</v>
      </c>
      <c r="L16" s="490">
        <f t="shared" si="2"/>
        <v>3374495.9706020788</v>
      </c>
      <c r="M16" s="499">
        <f t="shared" si="3"/>
        <v>2437807.6869597333</v>
      </c>
      <c r="N16" s="500">
        <f t="shared" si="4"/>
        <v>1603198.7270719851</v>
      </c>
      <c r="P16" s="496">
        <v>11</v>
      </c>
      <c r="Q16" s="497">
        <v>2027</v>
      </c>
      <c r="R16" s="490">
        <f>BCA!O14</f>
        <v>3889352.2949258946</v>
      </c>
      <c r="S16" s="499">
        <f t="shared" si="5"/>
        <v>2809750.8500426905</v>
      </c>
      <c r="T16" s="500">
        <f t="shared" si="6"/>
        <v>1847803.2579328211</v>
      </c>
      <c r="V16" s="496">
        <v>11</v>
      </c>
      <c r="W16" s="497">
        <v>2027</v>
      </c>
      <c r="X16" s="490">
        <f>BCA!O15</f>
        <v>1053347.5806193685</v>
      </c>
      <c r="Y16" s="499">
        <f t="shared" si="7"/>
        <v>760960.70389326185</v>
      </c>
      <c r="Z16" s="500">
        <f t="shared" si="8"/>
        <v>500437.84764455463</v>
      </c>
      <c r="AB16" s="496">
        <v>11</v>
      </c>
      <c r="AC16" s="501">
        <v>2027</v>
      </c>
      <c r="AD16" s="502">
        <v>0</v>
      </c>
      <c r="AE16" s="495">
        <f>BCA!O19</f>
        <v>39034.297276417034</v>
      </c>
      <c r="AF16" s="502">
        <f t="shared" si="9"/>
        <v>39034.297276417034</v>
      </c>
      <c r="AG16" s="499">
        <f t="shared" si="10"/>
        <v>28199.206869564783</v>
      </c>
      <c r="AH16" s="500">
        <f t="shared" si="11"/>
        <v>18544.913448077325</v>
      </c>
      <c r="AJ16" s="496">
        <v>11</v>
      </c>
      <c r="AK16" s="501">
        <v>2027</v>
      </c>
      <c r="AL16" s="494">
        <f>BCA!O16</f>
        <v>15568749.613814006</v>
      </c>
      <c r="AM16" s="495">
        <f>BCA!O20</f>
        <v>39034.297276417034</v>
      </c>
      <c r="AN16" s="494">
        <f t="shared" si="12"/>
        <v>15529715.316537589</v>
      </c>
      <c r="AO16" s="499">
        <f t="shared" si="13"/>
        <v>11218996.764188437</v>
      </c>
      <c r="AP16" s="500">
        <f t="shared" si="14"/>
        <v>7378055.8768369788</v>
      </c>
    </row>
    <row r="17" spans="2:42" x14ac:dyDescent="0.3">
      <c r="B17" s="496">
        <v>12</v>
      </c>
      <c r="C17" s="497">
        <v>2028</v>
      </c>
      <c r="D17" s="498">
        <f>BCA!P11</f>
        <v>7583327.5677777752</v>
      </c>
      <c r="E17" s="499">
        <f t="shared" si="0"/>
        <v>5318793.3809520472</v>
      </c>
      <c r="F17" s="500">
        <f t="shared" si="1"/>
        <v>3367088.1309332899</v>
      </c>
      <c r="H17" s="496">
        <v>12</v>
      </c>
      <c r="I17" s="501">
        <v>2028</v>
      </c>
      <c r="J17" s="502">
        <f>BCA!P12</f>
        <v>1495367.1402947814</v>
      </c>
      <c r="K17" s="500">
        <f>BCA!P13</f>
        <v>2040194.5030635381</v>
      </c>
      <c r="L17" s="490">
        <f t="shared" si="2"/>
        <v>3535561.6433583195</v>
      </c>
      <c r="M17" s="499">
        <f t="shared" si="3"/>
        <v>2479771.8018335295</v>
      </c>
      <c r="N17" s="500">
        <f t="shared" si="4"/>
        <v>1569831.6522839211</v>
      </c>
      <c r="P17" s="496">
        <v>12</v>
      </c>
      <c r="Q17" s="497">
        <v>2028</v>
      </c>
      <c r="R17" s="490">
        <f>BCA!P14</f>
        <v>4017392.8073255979</v>
      </c>
      <c r="S17" s="499">
        <f t="shared" si="5"/>
        <v>2817718.4858901403</v>
      </c>
      <c r="T17" s="500">
        <f t="shared" si="6"/>
        <v>1783770.4514202764</v>
      </c>
      <c r="V17" s="496">
        <v>12</v>
      </c>
      <c r="W17" s="497">
        <v>2028</v>
      </c>
      <c r="X17" s="490">
        <f>BCA!P15</f>
        <v>1112576.6085169136</v>
      </c>
      <c r="Y17" s="499">
        <f t="shared" si="7"/>
        <v>780338.84838709736</v>
      </c>
      <c r="Z17" s="500">
        <f t="shared" si="8"/>
        <v>493997.31975300732</v>
      </c>
      <c r="AB17" s="496">
        <v>12</v>
      </c>
      <c r="AC17" s="501">
        <v>2028</v>
      </c>
      <c r="AD17" s="502">
        <v>0</v>
      </c>
      <c r="AE17" s="495">
        <f>BCA!P19</f>
        <v>39034.297276417034</v>
      </c>
      <c r="AF17" s="502">
        <f t="shared" si="9"/>
        <v>39034.297276417034</v>
      </c>
      <c r="AG17" s="499">
        <f t="shared" si="10"/>
        <v>27377.870747150278</v>
      </c>
      <c r="AH17" s="500">
        <f t="shared" si="11"/>
        <v>17331.694811287223</v>
      </c>
      <c r="AJ17" s="496">
        <v>12</v>
      </c>
      <c r="AK17" s="501">
        <v>2028</v>
      </c>
      <c r="AL17" s="494">
        <f>BCA!P16</f>
        <v>16248858.626978606</v>
      </c>
      <c r="AM17" s="495">
        <f>BCA!P20</f>
        <v>39034.297276417034</v>
      </c>
      <c r="AN17" s="494">
        <f t="shared" si="12"/>
        <v>16209824.329702189</v>
      </c>
      <c r="AO17" s="499">
        <f t="shared" si="13"/>
        <v>11369244.646315664</v>
      </c>
      <c r="AP17" s="500">
        <f t="shared" si="14"/>
        <v>7197355.8595792074</v>
      </c>
    </row>
    <row r="18" spans="2:42" x14ac:dyDescent="0.3">
      <c r="B18" s="496">
        <v>13</v>
      </c>
      <c r="C18" s="497">
        <v>2029</v>
      </c>
      <c r="D18" s="498">
        <f>BCA!Q11</f>
        <v>7915101.3678888865</v>
      </c>
      <c r="E18" s="499">
        <f t="shared" si="0"/>
        <v>5389798.8826457728</v>
      </c>
      <c r="F18" s="500">
        <f t="shared" si="1"/>
        <v>3284485.6691078208</v>
      </c>
      <c r="H18" s="496">
        <v>13</v>
      </c>
      <c r="I18" s="501">
        <v>2029</v>
      </c>
      <c r="J18" s="502">
        <f>BCA!Q12</f>
        <v>1564082.3066636072</v>
      </c>
      <c r="K18" s="500">
        <f>BCA!Q13</f>
        <v>2132545.0094509525</v>
      </c>
      <c r="L18" s="490">
        <f t="shared" si="2"/>
        <v>3696627.3161145598</v>
      </c>
      <c r="M18" s="499">
        <f t="shared" si="3"/>
        <v>2517223.3243635944</v>
      </c>
      <c r="N18" s="500">
        <f t="shared" si="4"/>
        <v>1533968.9132811648</v>
      </c>
      <c r="P18" s="496">
        <v>13</v>
      </c>
      <c r="Q18" s="497">
        <v>2029</v>
      </c>
      <c r="R18" s="490">
        <f>BCA!Q14</f>
        <v>4145433.3197253011</v>
      </c>
      <c r="S18" s="499">
        <f t="shared" si="5"/>
        <v>2822838.3739193119</v>
      </c>
      <c r="T18" s="500">
        <f t="shared" si="6"/>
        <v>1720207.4487785571</v>
      </c>
      <c r="V18" s="496">
        <v>13</v>
      </c>
      <c r="W18" s="497">
        <v>2029</v>
      </c>
      <c r="X18" s="490">
        <f>BCA!Q15</f>
        <v>1164123.8016339324</v>
      </c>
      <c r="Y18" s="499">
        <f t="shared" si="7"/>
        <v>792711.6626405787</v>
      </c>
      <c r="Z18" s="500">
        <f t="shared" si="8"/>
        <v>483069.99061893026</v>
      </c>
      <c r="AB18" s="496">
        <v>13</v>
      </c>
      <c r="AC18" s="501">
        <v>2029</v>
      </c>
      <c r="AD18" s="502">
        <v>0</v>
      </c>
      <c r="AE18" s="495">
        <f>BCA!Q19</f>
        <v>39034.297276417034</v>
      </c>
      <c r="AF18" s="502">
        <f t="shared" si="9"/>
        <v>39034.297276417034</v>
      </c>
      <c r="AG18" s="499">
        <f t="shared" si="10"/>
        <v>26580.457036068234</v>
      </c>
      <c r="AH18" s="500">
        <f t="shared" si="11"/>
        <v>16197.845618025442</v>
      </c>
      <c r="AJ18" s="496">
        <v>13</v>
      </c>
      <c r="AK18" s="501">
        <v>2029</v>
      </c>
      <c r="AL18" s="494">
        <f>BCA!Q16</f>
        <v>16921285.805362679</v>
      </c>
      <c r="AM18" s="495">
        <f>BCA!Q20</f>
        <v>39034.297276417034</v>
      </c>
      <c r="AN18" s="494">
        <f t="shared" si="12"/>
        <v>16882251.50808626</v>
      </c>
      <c r="AO18" s="499">
        <f t="shared" si="13"/>
        <v>11495991.786533188</v>
      </c>
      <c r="AP18" s="500">
        <f t="shared" si="14"/>
        <v>7005534.1761684464</v>
      </c>
    </row>
    <row r="19" spans="2:42" x14ac:dyDescent="0.3">
      <c r="B19" s="496">
        <v>14</v>
      </c>
      <c r="C19" s="497">
        <v>2030</v>
      </c>
      <c r="D19" s="498">
        <f>BCA!R11</f>
        <v>8246875.1679999959</v>
      </c>
      <c r="E19" s="499">
        <f t="shared" si="0"/>
        <v>5452156.0159282144</v>
      </c>
      <c r="F19" s="500">
        <f t="shared" si="1"/>
        <v>3198280.3746680464</v>
      </c>
      <c r="H19" s="496">
        <v>14</v>
      </c>
      <c r="I19" s="501">
        <v>2030</v>
      </c>
      <c r="J19" s="502">
        <f>BCA!R12</f>
        <v>1632797.4730324331</v>
      </c>
      <c r="K19" s="500">
        <f>BCA!R13</f>
        <v>2224895.5158383669</v>
      </c>
      <c r="L19" s="490">
        <f t="shared" si="2"/>
        <v>3857692.9888708</v>
      </c>
      <c r="M19" s="499">
        <f t="shared" si="3"/>
        <v>2550389.5243241345</v>
      </c>
      <c r="N19" s="500">
        <f t="shared" si="4"/>
        <v>1496079.8516357515</v>
      </c>
      <c r="P19" s="496">
        <v>14</v>
      </c>
      <c r="Q19" s="497">
        <v>2030</v>
      </c>
      <c r="R19" s="490">
        <f>BCA!R14</f>
        <v>4273473.8321250044</v>
      </c>
      <c r="S19" s="499">
        <f t="shared" si="5"/>
        <v>2825269.6431177692</v>
      </c>
      <c r="T19" s="500">
        <f t="shared" si="6"/>
        <v>1657326.8311344539</v>
      </c>
      <c r="V19" s="496">
        <v>14</v>
      </c>
      <c r="W19" s="497">
        <v>2030</v>
      </c>
      <c r="X19" s="490">
        <f>BCA!R15</f>
        <v>1224445.5797003901</v>
      </c>
      <c r="Y19" s="499">
        <f t="shared" si="7"/>
        <v>809502.77499582921</v>
      </c>
      <c r="Z19" s="500">
        <f t="shared" si="8"/>
        <v>474861.10649526428</v>
      </c>
      <c r="AB19" s="496">
        <v>14</v>
      </c>
      <c r="AC19" s="501">
        <v>2030</v>
      </c>
      <c r="AD19" s="502">
        <v>0</v>
      </c>
      <c r="AE19" s="495">
        <f>BCA!R19</f>
        <v>39034.297276417034</v>
      </c>
      <c r="AF19" s="502">
        <f t="shared" si="9"/>
        <v>39034.297276417034</v>
      </c>
      <c r="AG19" s="499">
        <f t="shared" si="10"/>
        <v>25806.268967056534</v>
      </c>
      <c r="AH19" s="500">
        <f t="shared" si="11"/>
        <v>15138.173474790134</v>
      </c>
      <c r="AJ19" s="496">
        <v>14</v>
      </c>
      <c r="AK19" s="501">
        <v>2030</v>
      </c>
      <c r="AL19" s="494">
        <f>BCA!R16</f>
        <v>17602487.568696193</v>
      </c>
      <c r="AM19" s="495">
        <f>BCA!R20</f>
        <v>39034.297276417034</v>
      </c>
      <c r="AN19" s="494">
        <f t="shared" si="12"/>
        <v>17563453.271419775</v>
      </c>
      <c r="AO19" s="499">
        <f t="shared" si="13"/>
        <v>11611511.689398892</v>
      </c>
      <c r="AP19" s="500">
        <f t="shared" si="14"/>
        <v>6811409.990458726</v>
      </c>
    </row>
    <row r="20" spans="2:42" x14ac:dyDescent="0.3">
      <c r="B20" s="496">
        <v>15</v>
      </c>
      <c r="C20" s="497">
        <v>2031</v>
      </c>
      <c r="D20" s="498">
        <f>BCA!S11</f>
        <v>8578648.9681111071</v>
      </c>
      <c r="E20" s="499">
        <f t="shared" si="0"/>
        <v>5506308.3327046381</v>
      </c>
      <c r="F20" s="500">
        <f t="shared" si="1"/>
        <v>3109297.1724009067</v>
      </c>
      <c r="H20" s="496">
        <v>15</v>
      </c>
      <c r="I20" s="501">
        <v>2031</v>
      </c>
      <c r="J20" s="502">
        <f>BCA!S12</f>
        <v>1701512.6394012591</v>
      </c>
      <c r="K20" s="500">
        <f>BCA!S13</f>
        <v>2317246.0222257813</v>
      </c>
      <c r="L20" s="490">
        <f t="shared" si="2"/>
        <v>4018758.6616270402</v>
      </c>
      <c r="M20" s="499">
        <f t="shared" si="3"/>
        <v>2579488.260669359</v>
      </c>
      <c r="N20" s="500">
        <f t="shared" si="4"/>
        <v>1456583.0808099774</v>
      </c>
      <c r="P20" s="496">
        <v>15</v>
      </c>
      <c r="Q20" s="497">
        <v>2031</v>
      </c>
      <c r="R20" s="490">
        <f>BCA!S14</f>
        <v>4401514.3445247002</v>
      </c>
      <c r="S20" s="499">
        <f t="shared" si="5"/>
        <v>2825164.5686712116</v>
      </c>
      <c r="T20" s="500">
        <f t="shared" si="6"/>
        <v>1595311.3545717273</v>
      </c>
      <c r="V20" s="496">
        <v>15</v>
      </c>
      <c r="W20" s="497">
        <v>2031</v>
      </c>
      <c r="X20" s="490">
        <f>BCA!S15</f>
        <v>1294634.6928851989</v>
      </c>
      <c r="Y20" s="499">
        <f t="shared" si="7"/>
        <v>830976.74514264532</v>
      </c>
      <c r="Z20" s="500">
        <f t="shared" si="8"/>
        <v>469235.19132714905</v>
      </c>
      <c r="AB20" s="496">
        <v>15</v>
      </c>
      <c r="AC20" s="501">
        <v>2031</v>
      </c>
      <c r="AD20" s="502">
        <v>0</v>
      </c>
      <c r="AE20" s="495">
        <f>BCA!S19</f>
        <v>39034.297276417034</v>
      </c>
      <c r="AF20" s="502">
        <f t="shared" si="9"/>
        <v>39034.297276417034</v>
      </c>
      <c r="AG20" s="499">
        <f t="shared" si="10"/>
        <v>25054.630065103429</v>
      </c>
      <c r="AH20" s="500">
        <f t="shared" si="11"/>
        <v>14147.825677373954</v>
      </c>
      <c r="AJ20" s="496">
        <v>15</v>
      </c>
      <c r="AK20" s="501">
        <v>2031</v>
      </c>
      <c r="AL20" s="494">
        <f>BCA!S16</f>
        <v>18293556.667148046</v>
      </c>
      <c r="AM20" s="495">
        <f>BCA!S20</f>
        <v>39034.297276417034</v>
      </c>
      <c r="AN20" s="494">
        <f t="shared" si="12"/>
        <v>18254522.369871628</v>
      </c>
      <c r="AO20" s="499">
        <f t="shared" si="13"/>
        <v>11716883.277122749</v>
      </c>
      <c r="AP20" s="500">
        <f t="shared" si="14"/>
        <v>6616278.9734323863</v>
      </c>
    </row>
    <row r="21" spans="2:42" x14ac:dyDescent="0.3">
      <c r="B21" s="496">
        <v>16</v>
      </c>
      <c r="C21" s="497">
        <v>2032</v>
      </c>
      <c r="D21" s="498">
        <f>BCA!T11</f>
        <v>8910422.7682222184</v>
      </c>
      <c r="E21" s="499">
        <f t="shared" si="0"/>
        <v>5552680.883630258</v>
      </c>
      <c r="F21" s="500">
        <f t="shared" si="1"/>
        <v>3018268.4725914015</v>
      </c>
      <c r="H21" s="496">
        <v>16</v>
      </c>
      <c r="I21" s="501">
        <v>2032</v>
      </c>
      <c r="J21" s="502">
        <f>BCA!T12</f>
        <v>1770227.8057700852</v>
      </c>
      <c r="K21" s="500">
        <f>BCA!T13</f>
        <v>2409596.5286131958</v>
      </c>
      <c r="L21" s="490">
        <f t="shared" si="2"/>
        <v>4179824.3343832809</v>
      </c>
      <c r="M21" s="499">
        <f t="shared" si="3"/>
        <v>2604728.3369353809</v>
      </c>
      <c r="N21" s="500">
        <f t="shared" si="4"/>
        <v>1415851.1147677531</v>
      </c>
      <c r="P21" s="496">
        <v>16</v>
      </c>
      <c r="Q21" s="497">
        <v>2032</v>
      </c>
      <c r="R21" s="490">
        <f>BCA!T14</f>
        <v>4529554.8569243997</v>
      </c>
      <c r="S21" s="499">
        <f t="shared" si="5"/>
        <v>2822668.8362191813</v>
      </c>
      <c r="T21" s="500">
        <f t="shared" si="6"/>
        <v>1534316.9426579128</v>
      </c>
      <c r="V21" s="496">
        <v>16</v>
      </c>
      <c r="W21" s="497">
        <v>2032</v>
      </c>
      <c r="X21" s="490">
        <f>BCA!T15</f>
        <v>1356777.721233177</v>
      </c>
      <c r="Y21" s="499">
        <f t="shared" si="7"/>
        <v>845499.01974292053</v>
      </c>
      <c r="Z21" s="500">
        <f t="shared" si="8"/>
        <v>459587.55570130481</v>
      </c>
      <c r="AB21" s="496">
        <v>16</v>
      </c>
      <c r="AC21" s="501">
        <v>2032</v>
      </c>
      <c r="AD21" s="502">
        <v>0</v>
      </c>
      <c r="AE21" s="495">
        <f>BCA!T19</f>
        <v>39034.297276417034</v>
      </c>
      <c r="AF21" s="502">
        <f t="shared" si="9"/>
        <v>39034.297276417034</v>
      </c>
      <c r="AG21" s="499">
        <f t="shared" si="10"/>
        <v>24324.883558352849</v>
      </c>
      <c r="AH21" s="500">
        <f t="shared" si="11"/>
        <v>13222.266988199959</v>
      </c>
      <c r="AJ21" s="496">
        <v>16</v>
      </c>
      <c r="AK21" s="501">
        <v>2032</v>
      </c>
      <c r="AL21" s="494">
        <f>BCA!T16</f>
        <v>18976579.680763077</v>
      </c>
      <c r="AM21" s="495">
        <f>BCA!T20</f>
        <v>39034.297276417034</v>
      </c>
      <c r="AN21" s="494">
        <f t="shared" si="12"/>
        <v>18937545.383486658</v>
      </c>
      <c r="AO21" s="499">
        <f t="shared" si="13"/>
        <v>11801252.192969387</v>
      </c>
      <c r="AP21" s="500">
        <f t="shared" si="14"/>
        <v>6414801.8187301718</v>
      </c>
    </row>
    <row r="22" spans="2:42" x14ac:dyDescent="0.3">
      <c r="B22" s="496">
        <v>17</v>
      </c>
      <c r="C22" s="497">
        <v>2033</v>
      </c>
      <c r="D22" s="498">
        <f>BCA!U11</f>
        <v>9242196.5683333296</v>
      </c>
      <c r="E22" s="499">
        <f t="shared" si="0"/>
        <v>5591680.9195717722</v>
      </c>
      <c r="F22" s="500">
        <f t="shared" si="1"/>
        <v>2925842.7451696144</v>
      </c>
      <c r="H22" s="496">
        <v>17</v>
      </c>
      <c r="I22" s="501">
        <v>2033</v>
      </c>
      <c r="J22" s="502">
        <f>BCA!U12</f>
        <v>1838942.9721389108</v>
      </c>
      <c r="K22" s="500">
        <f>BCA!U13</f>
        <v>2501947.0350006111</v>
      </c>
      <c r="L22" s="490">
        <f t="shared" si="2"/>
        <v>4340890.0071395217</v>
      </c>
      <c r="M22" s="499">
        <f t="shared" si="3"/>
        <v>2626309.8439226369</v>
      </c>
      <c r="N22" s="500">
        <f t="shared" si="4"/>
        <v>1374214.6080819408</v>
      </c>
      <c r="P22" s="496">
        <v>17</v>
      </c>
      <c r="Q22" s="497">
        <v>2033</v>
      </c>
      <c r="R22" s="490">
        <f>BCA!U14</f>
        <v>4657595.369324103</v>
      </c>
      <c r="S22" s="499">
        <f t="shared" si="5"/>
        <v>2817921.7965315334</v>
      </c>
      <c r="T22" s="500">
        <f t="shared" si="6"/>
        <v>1474475.4150722399</v>
      </c>
      <c r="V22" s="496">
        <v>17</v>
      </c>
      <c r="W22" s="497">
        <v>2033</v>
      </c>
      <c r="X22" s="490">
        <f>BCA!U15</f>
        <v>1419649.249693763</v>
      </c>
      <c r="Y22" s="499">
        <f t="shared" si="7"/>
        <v>858911.14339591668</v>
      </c>
      <c r="Z22" s="500">
        <f t="shared" si="8"/>
        <v>449424.59589463432</v>
      </c>
      <c r="AB22" s="496">
        <v>17</v>
      </c>
      <c r="AC22" s="501">
        <v>2033</v>
      </c>
      <c r="AD22" s="502">
        <v>0</v>
      </c>
      <c r="AE22" s="495">
        <f>BCA!U19</f>
        <v>39034.297276417034</v>
      </c>
      <c r="AF22" s="502">
        <f t="shared" si="9"/>
        <v>39034.297276417034</v>
      </c>
      <c r="AG22" s="499">
        <f t="shared" si="10"/>
        <v>23616.391804226067</v>
      </c>
      <c r="AH22" s="500">
        <f t="shared" si="11"/>
        <v>12357.258867476598</v>
      </c>
      <c r="AJ22" s="496">
        <v>17</v>
      </c>
      <c r="AK22" s="501">
        <v>2033</v>
      </c>
      <c r="AL22" s="494">
        <f>BCA!U16</f>
        <v>19660331.19449072</v>
      </c>
      <c r="AM22" s="495">
        <f>BCA!U20</f>
        <v>39034.297276417034</v>
      </c>
      <c r="AN22" s="494">
        <f t="shared" si="12"/>
        <v>19621296.897214301</v>
      </c>
      <c r="AO22" s="499">
        <f t="shared" si="13"/>
        <v>11871207.311617633</v>
      </c>
      <c r="AP22" s="500">
        <f t="shared" si="14"/>
        <v>6211600.1053509535</v>
      </c>
    </row>
    <row r="23" spans="2:42" x14ac:dyDescent="0.3">
      <c r="B23" s="496">
        <v>18</v>
      </c>
      <c r="C23" s="497">
        <v>2034</v>
      </c>
      <c r="D23" s="498">
        <f>BCA!V11</f>
        <v>9573970.368444439</v>
      </c>
      <c r="E23" s="499">
        <f t="shared" si="0"/>
        <v>5623698.5679023387</v>
      </c>
      <c r="F23" s="500">
        <f t="shared" si="1"/>
        <v>2832592.367954907</v>
      </c>
      <c r="H23" s="496">
        <v>18</v>
      </c>
      <c r="I23" s="501">
        <v>2034</v>
      </c>
      <c r="J23" s="502">
        <f>BCA!V12</f>
        <v>1907658.1385077368</v>
      </c>
      <c r="K23" s="500">
        <f>BCA!V13</f>
        <v>2594297.5413880255</v>
      </c>
      <c r="L23" s="490">
        <f t="shared" si="2"/>
        <v>4501955.6798957624</v>
      </c>
      <c r="M23" s="499">
        <f t="shared" si="3"/>
        <v>2644424.4900982669</v>
      </c>
      <c r="N23" s="500">
        <f t="shared" si="4"/>
        <v>1331966.238560224</v>
      </c>
      <c r="P23" s="496">
        <v>18</v>
      </c>
      <c r="Q23" s="497">
        <v>2034</v>
      </c>
      <c r="R23" s="490">
        <f>BCA!V14</f>
        <v>4785635.8817237988</v>
      </c>
      <c r="S23" s="499">
        <f t="shared" si="5"/>
        <v>2811056.710939554</v>
      </c>
      <c r="T23" s="500">
        <f t="shared" si="6"/>
        <v>1415896.9740559682</v>
      </c>
      <c r="V23" s="496">
        <v>18</v>
      </c>
      <c r="W23" s="497">
        <v>2034</v>
      </c>
      <c r="X23" s="490">
        <f>BCA!V15</f>
        <v>1483249.2782669575</v>
      </c>
      <c r="Y23" s="499">
        <f t="shared" si="7"/>
        <v>871252.62780475407</v>
      </c>
      <c r="Z23" s="500">
        <f t="shared" si="8"/>
        <v>438839.94034924614</v>
      </c>
      <c r="AB23" s="496">
        <v>18</v>
      </c>
      <c r="AC23" s="501">
        <v>2034</v>
      </c>
      <c r="AD23" s="502">
        <v>0</v>
      </c>
      <c r="AE23" s="495">
        <f>BCA!V19</f>
        <v>39034.297276417034</v>
      </c>
      <c r="AF23" s="502">
        <f t="shared" si="9"/>
        <v>39034.297276417034</v>
      </c>
      <c r="AG23" s="499">
        <f t="shared" si="10"/>
        <v>22928.535732258319</v>
      </c>
      <c r="AH23" s="500">
        <f t="shared" si="11"/>
        <v>11548.84006306224</v>
      </c>
      <c r="AJ23" s="496">
        <v>18</v>
      </c>
      <c r="AK23" s="501">
        <v>2034</v>
      </c>
      <c r="AL23" s="494">
        <f>BCA!V16</f>
        <v>20344811.208330959</v>
      </c>
      <c r="AM23" s="495">
        <f>BCA!V20</f>
        <v>39034.297276417034</v>
      </c>
      <c r="AN23" s="494">
        <f t="shared" si="12"/>
        <v>20305776.91105454</v>
      </c>
      <c r="AO23" s="499">
        <f t="shared" si="13"/>
        <v>11927503.861012656</v>
      </c>
      <c r="AP23" s="500">
        <f t="shared" si="14"/>
        <v>6007746.6808572831</v>
      </c>
    </row>
    <row r="24" spans="2:42" x14ac:dyDescent="0.3">
      <c r="B24" s="496">
        <v>19</v>
      </c>
      <c r="C24" s="497">
        <v>2035</v>
      </c>
      <c r="D24" s="498">
        <f>BCA!W11</f>
        <v>9905744.1685555503</v>
      </c>
      <c r="E24" s="499">
        <f t="shared" si="0"/>
        <v>5649107.48450094</v>
      </c>
      <c r="F24" s="500">
        <f t="shared" si="1"/>
        <v>2739020.8072791393</v>
      </c>
      <c r="H24" s="496">
        <v>19</v>
      </c>
      <c r="I24" s="501">
        <v>2035</v>
      </c>
      <c r="J24" s="502">
        <f>BCA!W12</f>
        <v>1976373.3048765627</v>
      </c>
      <c r="K24" s="500">
        <f>BCA!W13</f>
        <v>2686648.0477754395</v>
      </c>
      <c r="L24" s="490">
        <f t="shared" si="2"/>
        <v>4663021.3526520021</v>
      </c>
      <c r="M24" s="499">
        <f t="shared" si="3"/>
        <v>2659255.9201430785</v>
      </c>
      <c r="N24" s="500">
        <f t="shared" si="4"/>
        <v>1289364.2610157549</v>
      </c>
      <c r="P24" s="496">
        <v>19</v>
      </c>
      <c r="Q24" s="497">
        <v>2035</v>
      </c>
      <c r="R24" s="490">
        <f>BCA!W14</f>
        <v>4913676.3941235021</v>
      </c>
      <c r="S24" s="499">
        <f t="shared" si="5"/>
        <v>2802200.9878442385</v>
      </c>
      <c r="T24" s="500">
        <f t="shared" si="6"/>
        <v>1358672.4686938024</v>
      </c>
      <c r="V24" s="496">
        <v>19</v>
      </c>
      <c r="W24" s="497">
        <v>2035</v>
      </c>
      <c r="X24" s="490">
        <f>BCA!W15</f>
        <v>1547577.8069527603</v>
      </c>
      <c r="Y24" s="499">
        <f t="shared" si="7"/>
        <v>882561.99870940193</v>
      </c>
      <c r="Z24" s="500">
        <f t="shared" si="8"/>
        <v>427918.15960507852</v>
      </c>
      <c r="AB24" s="496">
        <v>19</v>
      </c>
      <c r="AC24" s="501">
        <v>2035</v>
      </c>
      <c r="AD24" s="502">
        <v>0</v>
      </c>
      <c r="AE24" s="495">
        <f>BCA!W19</f>
        <v>39034.297276417034</v>
      </c>
      <c r="AF24" s="502">
        <f t="shared" si="9"/>
        <v>39034.297276417034</v>
      </c>
      <c r="AG24" s="499">
        <f t="shared" si="10"/>
        <v>22260.714303163415</v>
      </c>
      <c r="AH24" s="500">
        <f t="shared" si="11"/>
        <v>10793.308470151625</v>
      </c>
      <c r="AJ24" s="496">
        <v>19</v>
      </c>
      <c r="AK24" s="501">
        <v>2035</v>
      </c>
      <c r="AL24" s="494">
        <f>BCA!W16</f>
        <v>21030019.722283814</v>
      </c>
      <c r="AM24" s="495">
        <f>BCA!W20</f>
        <v>39034.297276417034</v>
      </c>
      <c r="AN24" s="494">
        <f t="shared" si="12"/>
        <v>20990985.425007395</v>
      </c>
      <c r="AO24" s="499">
        <f t="shared" si="13"/>
        <v>11970865.676894495</v>
      </c>
      <c r="AP24" s="500">
        <f t="shared" si="14"/>
        <v>5804182.3881236231</v>
      </c>
    </row>
    <row r="25" spans="2:42" x14ac:dyDescent="0.3">
      <c r="B25" s="496">
        <v>20</v>
      </c>
      <c r="C25" s="497">
        <v>2036</v>
      </c>
      <c r="D25" s="498">
        <f>BCA!X11</f>
        <v>10237517.96866666</v>
      </c>
      <c r="E25" s="499">
        <f t="shared" si="0"/>
        <v>5668265.4822976692</v>
      </c>
      <c r="F25" s="500">
        <f t="shared" si="1"/>
        <v>2645569.1847519008</v>
      </c>
      <c r="H25" s="496">
        <v>20</v>
      </c>
      <c r="I25" s="501">
        <v>2036</v>
      </c>
      <c r="J25" s="502">
        <f>BCA!X12</f>
        <v>2045088.4712453885</v>
      </c>
      <c r="K25" s="500">
        <f>BCA!X13</f>
        <v>2778998.5541628539</v>
      </c>
      <c r="L25" s="490">
        <f t="shared" si="2"/>
        <v>4824087.0254082419</v>
      </c>
      <c r="M25" s="499">
        <f t="shared" si="3"/>
        <v>2670980.0220534215</v>
      </c>
      <c r="N25" s="500">
        <f t="shared" si="4"/>
        <v>1246635.7585933199</v>
      </c>
      <c r="P25" s="496">
        <v>20</v>
      </c>
      <c r="Q25" s="497">
        <v>2036</v>
      </c>
      <c r="R25" s="490">
        <f>BCA!X14</f>
        <v>5041716.9065231979</v>
      </c>
      <c r="S25" s="499">
        <f t="shared" si="5"/>
        <v>2791476.4106132272</v>
      </c>
      <c r="T25" s="500">
        <f t="shared" si="6"/>
        <v>1302875.4554535476</v>
      </c>
      <c r="V25" s="496">
        <v>20</v>
      </c>
      <c r="W25" s="497">
        <v>2036</v>
      </c>
      <c r="X25" s="490">
        <f>BCA!X15</f>
        <v>1612634.8357511712</v>
      </c>
      <c r="Y25" s="499">
        <f t="shared" si="7"/>
        <v>892876.80891168618</v>
      </c>
      <c r="Z25" s="500">
        <f t="shared" si="8"/>
        <v>416735.48615772458</v>
      </c>
      <c r="AB25" s="496">
        <v>20</v>
      </c>
      <c r="AC25" s="501">
        <v>2036</v>
      </c>
      <c r="AD25" s="502">
        <v>0</v>
      </c>
      <c r="AE25" s="495">
        <f>BCA!X19</f>
        <v>39034.297276417034</v>
      </c>
      <c r="AF25" s="502">
        <f t="shared" si="9"/>
        <v>39034.297276417034</v>
      </c>
      <c r="AG25" s="499">
        <f t="shared" si="10"/>
        <v>21612.343983653802</v>
      </c>
      <c r="AH25" s="500">
        <f t="shared" si="11"/>
        <v>10087.204177711801</v>
      </c>
      <c r="AJ25" s="496">
        <v>20</v>
      </c>
      <c r="AK25" s="501">
        <v>2036</v>
      </c>
      <c r="AL25" s="494">
        <f>BCA!X16</f>
        <v>21715956.736349273</v>
      </c>
      <c r="AM25" s="495">
        <f>BCA!X20</f>
        <v>39034.297276417034</v>
      </c>
      <c r="AN25" s="494">
        <f t="shared" si="12"/>
        <v>21676922.439072855</v>
      </c>
      <c r="AO25" s="499">
        <f t="shared" si="13"/>
        <v>12001986.379892351</v>
      </c>
      <c r="AP25" s="500">
        <f t="shared" si="14"/>
        <v>5601728.6807787819</v>
      </c>
    </row>
    <row r="26" spans="2:42" x14ac:dyDescent="0.3">
      <c r="B26" s="496">
        <v>21</v>
      </c>
      <c r="C26" s="497">
        <v>2037</v>
      </c>
      <c r="D26" s="498">
        <f>BCA!Y11</f>
        <v>10569291.768777769</v>
      </c>
      <c r="E26" s="499">
        <f t="shared" si="0"/>
        <v>5681515.1371781109</v>
      </c>
      <c r="F26" s="500">
        <f t="shared" si="1"/>
        <v>2552622.2797536277</v>
      </c>
      <c r="H26" s="496">
        <v>21</v>
      </c>
      <c r="I26" s="501">
        <v>2037</v>
      </c>
      <c r="J26" s="502">
        <f>BCA!Y12</f>
        <v>2113803.6376142143</v>
      </c>
      <c r="K26" s="500">
        <f>BCA!Y13</f>
        <v>2871349.0605502683</v>
      </c>
      <c r="L26" s="490">
        <f t="shared" si="2"/>
        <v>4985152.6981644826</v>
      </c>
      <c r="M26" s="499">
        <f t="shared" si="3"/>
        <v>2679765.2231944301</v>
      </c>
      <c r="N26" s="500">
        <f t="shared" si="4"/>
        <v>1203979.6160135819</v>
      </c>
      <c r="P26" s="496">
        <v>21</v>
      </c>
      <c r="Q26" s="497">
        <v>2037</v>
      </c>
      <c r="R26" s="490">
        <f>BCA!Y14</f>
        <v>5169757.4189229049</v>
      </c>
      <c r="S26" s="499">
        <f t="shared" si="5"/>
        <v>2778999.3571675145</v>
      </c>
      <c r="T26" s="500">
        <f t="shared" si="6"/>
        <v>1248564.071951081</v>
      </c>
      <c r="V26" s="496">
        <v>21</v>
      </c>
      <c r="W26" s="497">
        <v>2037</v>
      </c>
      <c r="X26" s="490">
        <f>BCA!Y15</f>
        <v>1678420.3646621904</v>
      </c>
      <c r="Y26" s="499">
        <f t="shared" si="7"/>
        <v>902233.65169518616</v>
      </c>
      <c r="Z26" s="500">
        <f t="shared" si="8"/>
        <v>405360.48312008701</v>
      </c>
      <c r="AB26" s="496">
        <v>21</v>
      </c>
      <c r="AC26" s="501">
        <v>2037</v>
      </c>
      <c r="AD26" s="502">
        <v>0</v>
      </c>
      <c r="AE26" s="495">
        <f>BCA!Y19</f>
        <v>39034.297276417034</v>
      </c>
      <c r="AF26" s="502">
        <f t="shared" si="9"/>
        <v>39034.297276417034</v>
      </c>
      <c r="AG26" s="499">
        <f t="shared" si="10"/>
        <v>20982.858236557091</v>
      </c>
      <c r="AH26" s="500">
        <f t="shared" si="11"/>
        <v>9427.2936240297204</v>
      </c>
      <c r="AJ26" s="496">
        <v>21</v>
      </c>
      <c r="AK26" s="501">
        <v>2037</v>
      </c>
      <c r="AL26" s="494">
        <f>BCA!Y16</f>
        <v>22402622.250527348</v>
      </c>
      <c r="AM26" s="495">
        <f>BCA!Y20</f>
        <v>39034.297276417034</v>
      </c>
      <c r="AN26" s="494">
        <f t="shared" si="12"/>
        <v>22363587.95325093</v>
      </c>
      <c r="AO26" s="499">
        <f t="shared" si="13"/>
        <v>12021530.510998685</v>
      </c>
      <c r="AP26" s="500">
        <f t="shared" si="14"/>
        <v>5401099.1572143473</v>
      </c>
    </row>
    <row r="27" spans="2:42" x14ac:dyDescent="0.3">
      <c r="B27" s="496">
        <v>22</v>
      </c>
      <c r="C27" s="497">
        <v>2038</v>
      </c>
      <c r="D27" s="498">
        <f>BCA!Z11</f>
        <v>10901065.56888888</v>
      </c>
      <c r="E27" s="499">
        <f t="shared" si="0"/>
        <v>5689184.3720324626</v>
      </c>
      <c r="F27" s="500">
        <f t="shared" si="1"/>
        <v>2460514.0133818346</v>
      </c>
      <c r="H27" s="496">
        <v>22</v>
      </c>
      <c r="I27" s="501">
        <v>2038</v>
      </c>
      <c r="J27" s="502">
        <f>BCA!Z12</f>
        <v>2182518.8039830402</v>
      </c>
      <c r="K27" s="500">
        <f>BCA!Z13</f>
        <v>2963699.5669376832</v>
      </c>
      <c r="L27" s="490">
        <f t="shared" si="2"/>
        <v>5146218.3709207233</v>
      </c>
      <c r="M27" s="499">
        <f t="shared" si="3"/>
        <v>2685772.7756877216</v>
      </c>
      <c r="N27" s="500">
        <f t="shared" si="4"/>
        <v>1161569.2372047734</v>
      </c>
      <c r="P27" s="496">
        <v>22</v>
      </c>
      <c r="Q27" s="497">
        <v>2038</v>
      </c>
      <c r="R27" s="490">
        <f>BCA!Z14</f>
        <v>5297797.9313226119</v>
      </c>
      <c r="S27" s="499">
        <f t="shared" si="5"/>
        <v>2764881.0115485461</v>
      </c>
      <c r="T27" s="500">
        <f t="shared" si="6"/>
        <v>1195782.7395595822</v>
      </c>
      <c r="V27" s="496">
        <v>22</v>
      </c>
      <c r="W27" s="497">
        <v>2038</v>
      </c>
      <c r="X27" s="490">
        <f>BCA!Z15</f>
        <v>1744934.3936858175</v>
      </c>
      <c r="Y27" s="499">
        <f t="shared" si="7"/>
        <v>910668.17459672934</v>
      </c>
      <c r="Z27" s="500">
        <f t="shared" si="8"/>
        <v>393854.66502918291</v>
      </c>
      <c r="AB27" s="496">
        <v>22</v>
      </c>
      <c r="AC27" s="501">
        <v>2038</v>
      </c>
      <c r="AD27" s="502">
        <v>0</v>
      </c>
      <c r="AE27" s="495">
        <f>BCA!Z19</f>
        <v>39034.297276417034</v>
      </c>
      <c r="AF27" s="502">
        <f t="shared" si="9"/>
        <v>39034.297276417034</v>
      </c>
      <c r="AG27" s="499">
        <f t="shared" si="10"/>
        <v>20371.707025783584</v>
      </c>
      <c r="AH27" s="500">
        <f t="shared" si="11"/>
        <v>8810.5547888128222</v>
      </c>
      <c r="AJ27" s="496">
        <v>22</v>
      </c>
      <c r="AK27" s="501">
        <v>2038</v>
      </c>
      <c r="AL27" s="494">
        <f>BCA!Z16</f>
        <v>23090016.264818035</v>
      </c>
      <c r="AM27" s="495">
        <f>BCA!Z20</f>
        <v>39034.297276417034</v>
      </c>
      <c r="AN27" s="494">
        <f t="shared" si="12"/>
        <v>23050981.967541616</v>
      </c>
      <c r="AO27" s="499">
        <f t="shared" si="13"/>
        <v>12030134.626839677</v>
      </c>
      <c r="AP27" s="500">
        <f t="shared" si="14"/>
        <v>5202910.1003865609</v>
      </c>
    </row>
    <row r="28" spans="2:42" x14ac:dyDescent="0.3">
      <c r="B28" s="496">
        <v>23</v>
      </c>
      <c r="C28" s="497">
        <v>2039</v>
      </c>
      <c r="D28" s="498">
        <f>BCA!AA11</f>
        <v>11232839.36899999</v>
      </c>
      <c r="E28" s="499">
        <f t="shared" si="0"/>
        <v>5691587.0197085133</v>
      </c>
      <c r="F28" s="500">
        <f t="shared" si="1"/>
        <v>2369532.4560079467</v>
      </c>
      <c r="H28" s="496">
        <v>23</v>
      </c>
      <c r="I28" s="501">
        <v>2039</v>
      </c>
      <c r="J28" s="502">
        <f>BCA!AA12</f>
        <v>2251233.970351866</v>
      </c>
      <c r="K28" s="500">
        <f>BCA!AA13</f>
        <v>3056050.0733250971</v>
      </c>
      <c r="L28" s="490">
        <f t="shared" si="2"/>
        <v>5307284.0436769631</v>
      </c>
      <c r="M28" s="499">
        <f t="shared" si="3"/>
        <v>2689157.0315037002</v>
      </c>
      <c r="N28" s="500">
        <f t="shared" si="4"/>
        <v>1119555.0280414301</v>
      </c>
      <c r="P28" s="496">
        <v>23</v>
      </c>
      <c r="Q28" s="497">
        <v>2039</v>
      </c>
      <c r="R28" s="490">
        <f>BCA!AA14</f>
        <v>5425838.443722304</v>
      </c>
      <c r="S28" s="499">
        <f t="shared" si="5"/>
        <v>2749227.5677467077</v>
      </c>
      <c r="T28" s="500">
        <f t="shared" si="6"/>
        <v>1144563.7092378561</v>
      </c>
      <c r="V28" s="496">
        <v>23</v>
      </c>
      <c r="W28" s="497">
        <v>2039</v>
      </c>
      <c r="X28" s="490">
        <f>BCA!AA15</f>
        <v>1824229.7582782286</v>
      </c>
      <c r="Y28" s="499">
        <f t="shared" si="7"/>
        <v>924322.16575947485</v>
      </c>
      <c r="Z28" s="500">
        <f t="shared" si="8"/>
        <v>384815.582014382</v>
      </c>
      <c r="AB28" s="496">
        <v>23</v>
      </c>
      <c r="AC28" s="501">
        <v>2039</v>
      </c>
      <c r="AD28" s="502">
        <v>0</v>
      </c>
      <c r="AE28" s="495">
        <f>BCA!AA19</f>
        <v>39034.297276417034</v>
      </c>
      <c r="AF28" s="502">
        <f t="shared" si="9"/>
        <v>39034.297276417034</v>
      </c>
      <c r="AG28" s="499">
        <f t="shared" si="10"/>
        <v>19778.356335712215</v>
      </c>
      <c r="AH28" s="500">
        <f t="shared" si="11"/>
        <v>8234.1633540306757</v>
      </c>
      <c r="AJ28" s="496">
        <v>23</v>
      </c>
      <c r="AK28" s="501">
        <v>2039</v>
      </c>
      <c r="AL28" s="494">
        <f>BCA!AA16</f>
        <v>23790191.614677485</v>
      </c>
      <c r="AM28" s="495">
        <f>BCA!AA20</f>
        <v>39034.297276417034</v>
      </c>
      <c r="AN28" s="494">
        <f t="shared" si="12"/>
        <v>23751157.317401066</v>
      </c>
      <c r="AO28" s="499">
        <f t="shared" si="13"/>
        <v>12034515.428382682</v>
      </c>
      <c r="AP28" s="500">
        <f t="shared" si="14"/>
        <v>5010232.611947584</v>
      </c>
    </row>
    <row r="29" spans="2:42" ht="14.4" thickBot="1" x14ac:dyDescent="0.35">
      <c r="B29" s="503">
        <v>24</v>
      </c>
      <c r="C29" s="504">
        <v>2040</v>
      </c>
      <c r="D29" s="505">
        <f>BCA!AB11</f>
        <v>11564613.169111105</v>
      </c>
      <c r="E29" s="506">
        <f t="shared" si="0"/>
        <v>5689023.3656019205</v>
      </c>
      <c r="F29" s="507">
        <f t="shared" si="1"/>
        <v>2279924.3973055924</v>
      </c>
      <c r="H29" s="503">
        <v>24</v>
      </c>
      <c r="I29" s="508">
        <v>2040</v>
      </c>
      <c r="J29" s="509">
        <f>BCA!AB12</f>
        <v>2319949.1367206927</v>
      </c>
      <c r="K29" s="507">
        <f>BCA!AB13</f>
        <v>3148400.5797125129</v>
      </c>
      <c r="L29" s="510">
        <f t="shared" si="2"/>
        <v>5468349.7164332056</v>
      </c>
      <c r="M29" s="506">
        <f t="shared" si="3"/>
        <v>2690065.7076160838</v>
      </c>
      <c r="N29" s="507">
        <f t="shared" si="4"/>
        <v>1078066.6632927656</v>
      </c>
      <c r="P29" s="503">
        <v>24</v>
      </c>
      <c r="Q29" s="504">
        <v>2040</v>
      </c>
      <c r="R29" s="490">
        <f>BCA!AB14</f>
        <v>5553878.9561220035</v>
      </c>
      <c r="S29" s="506">
        <f t="shared" si="5"/>
        <v>2732140.4260624717</v>
      </c>
      <c r="T29" s="507">
        <f t="shared" si="6"/>
        <v>1094928.4638042024</v>
      </c>
      <c r="V29" s="503">
        <v>24</v>
      </c>
      <c r="W29" s="504">
        <v>2040</v>
      </c>
      <c r="X29" s="490">
        <f>BCA!AB15</f>
        <v>1892565.037583377</v>
      </c>
      <c r="Y29" s="506">
        <f t="shared" si="7"/>
        <v>931016.59020391479</v>
      </c>
      <c r="Z29" s="507">
        <f t="shared" si="8"/>
        <v>373112.80019282951</v>
      </c>
      <c r="AB29" s="503">
        <v>24</v>
      </c>
      <c r="AC29" s="508">
        <v>2040</v>
      </c>
      <c r="AD29" s="502">
        <v>0</v>
      </c>
      <c r="AE29" s="495">
        <f>BCA!AB19</f>
        <v>39034.297276417034</v>
      </c>
      <c r="AF29" s="511">
        <f t="shared" si="9"/>
        <v>39034.297276417034</v>
      </c>
      <c r="AG29" s="512">
        <f t="shared" si="10"/>
        <v>19202.28770457497</v>
      </c>
      <c r="AH29" s="513">
        <f t="shared" si="11"/>
        <v>7695.479770122126</v>
      </c>
      <c r="AJ29" s="503">
        <v>24</v>
      </c>
      <c r="AK29" s="508">
        <v>2040</v>
      </c>
      <c r="AL29" s="494">
        <f>BCA!AB16</f>
        <v>24479406.879249692</v>
      </c>
      <c r="AM29" s="495">
        <f>BCA!AB20</f>
        <v>39034.297276417034</v>
      </c>
      <c r="AN29" s="630">
        <f t="shared" si="12"/>
        <v>24440372.581973273</v>
      </c>
      <c r="AO29" s="512">
        <f t="shared" si="13"/>
        <v>12023043.801779816</v>
      </c>
      <c r="AP29" s="513">
        <f t="shared" si="14"/>
        <v>4818336.8448252678</v>
      </c>
    </row>
    <row r="30" spans="2:42" ht="14.4" thickBot="1" x14ac:dyDescent="0.35">
      <c r="B30" s="514"/>
      <c r="C30" s="515" t="s">
        <v>414</v>
      </c>
      <c r="D30" s="516">
        <f>SUM(D5:D29)</f>
        <v>173184378.52799991</v>
      </c>
      <c r="E30" s="517">
        <f t="shared" ref="E30:F30" si="15">SUM(E5:E29)</f>
        <v>111297823.46294008</v>
      </c>
      <c r="F30" s="518">
        <f t="shared" si="15"/>
        <v>65897956.329539813</v>
      </c>
      <c r="H30" s="514"/>
      <c r="I30" s="515" t="s">
        <v>414</v>
      </c>
      <c r="J30" s="519">
        <f t="shared" ref="J30:K30" si="16">SUM(J5:J29)</f>
        <v>34288746.933681101</v>
      </c>
      <c r="K30" s="518">
        <f t="shared" si="16"/>
        <v>46722805.832605697</v>
      </c>
      <c r="L30" s="516">
        <f>SUM(L5:L29)</f>
        <v>81011552.76628679</v>
      </c>
      <c r="M30" s="517">
        <f t="shared" ref="M30" si="17">SUM(M5:M29)</f>
        <v>51973314.717384972</v>
      </c>
      <c r="N30" s="518">
        <f t="shared" ref="N30" si="18">SUM(N5:N29)</f>
        <v>30700849.725875415</v>
      </c>
      <c r="P30" s="514"/>
      <c r="Q30" s="515" t="s">
        <v>422</v>
      </c>
      <c r="R30" s="516">
        <f>SUM(R5:R29)</f>
        <v>89742950.474625051</v>
      </c>
      <c r="S30" s="517">
        <f t="shared" ref="S30" si="19">SUM(S5:S29)</f>
        <v>58340421.139785029</v>
      </c>
      <c r="T30" s="518">
        <f t="shared" ref="T30" si="20">SUM(T5:T29)</f>
        <v>35079786.358630687</v>
      </c>
      <c r="V30" s="514"/>
      <c r="W30" s="515" t="s">
        <v>426</v>
      </c>
      <c r="X30" s="516">
        <f>SUM(X5:X29)</f>
        <v>26174024.083184939</v>
      </c>
      <c r="Y30" s="517">
        <f t="shared" ref="Y30" si="21">SUM(Y5:Y29)</f>
        <v>16651305.888753347</v>
      </c>
      <c r="Z30" s="518">
        <f t="shared" ref="Z30" si="22">SUM(Z5:Z29)</f>
        <v>9727265.8467444461</v>
      </c>
      <c r="AB30" s="514"/>
      <c r="AC30" s="520" t="s">
        <v>570</v>
      </c>
      <c r="AD30" s="517">
        <f>SUM(AD5:AD29)</f>
        <v>129164870.00000001</v>
      </c>
      <c r="AE30" s="517">
        <f>SUM(AE5:AE29)</f>
        <v>780685.94552834064</v>
      </c>
      <c r="AF30" s="521">
        <f>SUM(AF5:AF29)</f>
        <v>129945555.94552846</v>
      </c>
      <c r="AG30" s="521">
        <f t="shared" ref="AG30" si="23">SUM(AG5:AG29)</f>
        <v>119534639.11651942</v>
      </c>
      <c r="AH30" s="522">
        <f t="shared" ref="AH30" si="24">SUM(AH5:AH29)</f>
        <v>107593595.39899953</v>
      </c>
      <c r="AJ30" s="633"/>
      <c r="AK30" s="634" t="s">
        <v>569</v>
      </c>
      <c r="AL30" s="516">
        <f>SUM(AL5:AL29)</f>
        <v>370112905.85209668</v>
      </c>
      <c r="AM30" s="631">
        <f>SUM(AM5:AM29)</f>
        <v>129945555.94552846</v>
      </c>
      <c r="AN30" s="632">
        <f>SUM(AN5:AN29)</f>
        <v>240167349.90656832</v>
      </c>
      <c r="AO30" s="521">
        <f t="shared" ref="AO30" si="25">SUM(AO5:AO29)</f>
        <v>118728226.09234399</v>
      </c>
      <c r="AP30" s="522">
        <f t="shared" ref="AP30" si="26">SUM(AP5:AP29)</f>
        <v>33812262.861790821</v>
      </c>
    </row>
  </sheetData>
  <mergeCells count="6">
    <mergeCell ref="AJ2:AP2"/>
    <mergeCell ref="V2:Z2"/>
    <mergeCell ref="AB2:AH2"/>
    <mergeCell ref="B2:F2"/>
    <mergeCell ref="H2:N2"/>
    <mergeCell ref="P2:T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12"/>
  <sheetViews>
    <sheetView workbookViewId="0">
      <selection activeCell="G20" sqref="G20"/>
    </sheetView>
  </sheetViews>
  <sheetFormatPr defaultRowHeight="14.4" x14ac:dyDescent="0.3"/>
  <cols>
    <col min="2" max="2" width="30.88671875" customWidth="1"/>
    <col min="3" max="3" width="15.109375" customWidth="1"/>
    <col min="4" max="6" width="12.21875" customWidth="1"/>
  </cols>
  <sheetData>
    <row r="2" spans="2:6" x14ac:dyDescent="0.3">
      <c r="B2" s="798" t="s">
        <v>440</v>
      </c>
      <c r="C2" s="798"/>
      <c r="D2" s="798"/>
      <c r="E2" s="798"/>
    </row>
    <row r="3" spans="2:6" x14ac:dyDescent="0.3">
      <c r="B3" s="12" t="s">
        <v>443</v>
      </c>
      <c r="C3" s="67">
        <v>13000</v>
      </c>
      <c r="D3" t="s">
        <v>437</v>
      </c>
    </row>
    <row r="4" spans="2:6" ht="15" thickBot="1" x14ac:dyDescent="0.35">
      <c r="B4" s="448" t="s">
        <v>438</v>
      </c>
      <c r="C4" s="447">
        <v>1000000000</v>
      </c>
      <c r="D4" t="s">
        <v>439</v>
      </c>
    </row>
    <row r="5" spans="2:6" ht="15" thickBot="1" x14ac:dyDescent="0.35">
      <c r="B5" s="458" t="s">
        <v>442</v>
      </c>
      <c r="C5" s="459">
        <f>ConstructionCosts!I13*(C3/C4)</f>
        <v>1444.7466279999999</v>
      </c>
      <c r="D5" s="460" t="s">
        <v>441</v>
      </c>
    </row>
    <row r="7" spans="2:6" ht="15" thickBot="1" x14ac:dyDescent="0.35">
      <c r="B7" s="12" t="s">
        <v>453</v>
      </c>
    </row>
    <row r="8" spans="2:6" ht="15" thickBot="1" x14ac:dyDescent="0.35">
      <c r="B8" s="94" t="s">
        <v>444</v>
      </c>
      <c r="C8" s="453" t="s">
        <v>445</v>
      </c>
      <c r="D8" s="454" t="s">
        <v>446</v>
      </c>
      <c r="E8" s="454" t="s">
        <v>447</v>
      </c>
      <c r="F8" s="435" t="s">
        <v>448</v>
      </c>
    </row>
    <row r="9" spans="2:6" x14ac:dyDescent="0.3">
      <c r="B9" s="451" t="s">
        <v>449</v>
      </c>
      <c r="C9" s="452">
        <v>17.5906103613443</v>
      </c>
      <c r="D9" s="396">
        <v>735721.79697947204</v>
      </c>
      <c r="E9" s="396">
        <v>1299752.05016883</v>
      </c>
      <c r="F9" s="441">
        <v>2256667.8413974801</v>
      </c>
    </row>
    <row r="10" spans="2:6" x14ac:dyDescent="0.3">
      <c r="B10" s="450" t="s">
        <v>450</v>
      </c>
      <c r="C10" s="449">
        <v>3.5592269022377998</v>
      </c>
      <c r="D10" s="293">
        <v>113645.732803837</v>
      </c>
      <c r="E10" s="293">
        <v>188167.91206418301</v>
      </c>
      <c r="F10" s="296">
        <v>371986.26779595797</v>
      </c>
    </row>
    <row r="11" spans="2:6" ht="15" thickBot="1" x14ac:dyDescent="0.35">
      <c r="B11" s="455" t="s">
        <v>451</v>
      </c>
      <c r="C11" s="456">
        <v>36.188333856573699</v>
      </c>
      <c r="D11" s="443">
        <v>1195172.0389412399</v>
      </c>
      <c r="E11" s="443">
        <v>2544597.2918521799</v>
      </c>
      <c r="F11" s="442">
        <v>4347659.4563317699</v>
      </c>
    </row>
    <row r="12" spans="2:6" ht="15" thickBot="1" x14ac:dyDescent="0.35">
      <c r="B12" s="94" t="s">
        <v>452</v>
      </c>
      <c r="C12" s="457">
        <f>SUM(C9:C11)</f>
        <v>57.338171120155799</v>
      </c>
      <c r="D12" s="445">
        <f t="shared" ref="D12:F12" si="0">SUM(D9:D11)</f>
        <v>2044539.5687245489</v>
      </c>
      <c r="E12" s="445">
        <f t="shared" si="0"/>
        <v>4032517.2540851929</v>
      </c>
      <c r="F12" s="444">
        <f t="shared" si="0"/>
        <v>6976313.5655252077</v>
      </c>
    </row>
  </sheetData>
  <mergeCells count="1">
    <mergeCell ref="B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249977111117893"/>
  </sheetPr>
  <dimension ref="B2:AB70"/>
  <sheetViews>
    <sheetView topLeftCell="A34" zoomScale="90" zoomScaleNormal="90" workbookViewId="0">
      <selection activeCell="C44" sqref="C44"/>
    </sheetView>
  </sheetViews>
  <sheetFormatPr defaultRowHeight="14.4" x14ac:dyDescent="0.3"/>
  <cols>
    <col min="2" max="2" width="55.88671875" customWidth="1"/>
    <col min="3" max="3" width="19" customWidth="1"/>
    <col min="4" max="4" width="79.109375" bestFit="1" customWidth="1"/>
  </cols>
  <sheetData>
    <row r="2" spans="2:4" x14ac:dyDescent="0.3">
      <c r="B2" s="12" t="s">
        <v>182</v>
      </c>
      <c r="C2" s="140" t="s">
        <v>168</v>
      </c>
      <c r="D2" s="12" t="s">
        <v>167</v>
      </c>
    </row>
    <row r="3" spans="2:4" x14ac:dyDescent="0.3">
      <c r="B3" s="157" t="s">
        <v>454</v>
      </c>
      <c r="C3" s="523">
        <v>20.399999999999999</v>
      </c>
      <c r="D3" s="3" t="s">
        <v>327</v>
      </c>
    </row>
    <row r="4" spans="2:4" x14ac:dyDescent="0.3">
      <c r="B4" s="158" t="s">
        <v>232</v>
      </c>
      <c r="C4" s="160">
        <v>27.2</v>
      </c>
      <c r="D4" t="s">
        <v>327</v>
      </c>
    </row>
    <row r="5" spans="2:4" x14ac:dyDescent="0.3">
      <c r="B5" s="158" t="s">
        <v>169</v>
      </c>
      <c r="C5" s="524">
        <v>0</v>
      </c>
      <c r="D5" t="s">
        <v>478</v>
      </c>
    </row>
    <row r="6" spans="2:4" x14ac:dyDescent="0.3">
      <c r="B6" s="158" t="s">
        <v>170</v>
      </c>
      <c r="C6" s="524">
        <v>0.5</v>
      </c>
      <c r="D6" t="s">
        <v>478</v>
      </c>
    </row>
    <row r="7" spans="2:4" x14ac:dyDescent="0.3">
      <c r="B7" s="158" t="s">
        <v>171</v>
      </c>
      <c r="C7" s="524">
        <v>1</v>
      </c>
      <c r="D7" t="s">
        <v>478</v>
      </c>
    </row>
    <row r="8" spans="2:4" x14ac:dyDescent="0.3">
      <c r="B8" s="158" t="s">
        <v>172</v>
      </c>
      <c r="C8" s="524">
        <v>1</v>
      </c>
      <c r="D8" t="s">
        <v>478</v>
      </c>
    </row>
    <row r="9" spans="2:4" x14ac:dyDescent="0.3">
      <c r="B9" s="158" t="s">
        <v>173</v>
      </c>
      <c r="C9" s="525">
        <v>2</v>
      </c>
      <c r="D9" t="s">
        <v>311</v>
      </c>
    </row>
    <row r="10" spans="2:4" x14ac:dyDescent="0.3">
      <c r="B10" s="158" t="s">
        <v>376</v>
      </c>
      <c r="C10" s="525">
        <v>2</v>
      </c>
      <c r="D10" t="s">
        <v>311</v>
      </c>
    </row>
    <row r="11" spans="2:4" x14ac:dyDescent="0.3">
      <c r="B11" s="158" t="s">
        <v>174</v>
      </c>
      <c r="C11" s="525">
        <v>2</v>
      </c>
      <c r="D11" t="s">
        <v>311</v>
      </c>
    </row>
    <row r="12" spans="2:4" x14ac:dyDescent="0.3">
      <c r="B12" s="158" t="s">
        <v>377</v>
      </c>
      <c r="C12" s="525">
        <v>2</v>
      </c>
      <c r="D12" t="s">
        <v>311</v>
      </c>
    </row>
    <row r="13" spans="2:4" x14ac:dyDescent="0.3">
      <c r="B13" s="158" t="s">
        <v>175</v>
      </c>
      <c r="C13" s="525">
        <v>1.2</v>
      </c>
      <c r="D13" t="s">
        <v>311</v>
      </c>
    </row>
    <row r="14" spans="2:4" x14ac:dyDescent="0.3">
      <c r="B14" s="158" t="s">
        <v>378</v>
      </c>
      <c r="C14" s="525">
        <v>1.2</v>
      </c>
      <c r="D14" t="s">
        <v>311</v>
      </c>
    </row>
    <row r="15" spans="2:4" x14ac:dyDescent="0.3">
      <c r="B15" s="158" t="s">
        <v>176</v>
      </c>
      <c r="C15" s="525">
        <v>1.2</v>
      </c>
      <c r="D15" t="s">
        <v>311</v>
      </c>
    </row>
    <row r="16" spans="2:4" x14ac:dyDescent="0.3">
      <c r="B16" s="158" t="s">
        <v>379</v>
      </c>
      <c r="C16" s="525">
        <v>1.2</v>
      </c>
      <c r="D16" t="s">
        <v>311</v>
      </c>
    </row>
    <row r="17" spans="2:4" x14ac:dyDescent="0.3">
      <c r="B17" s="158" t="s">
        <v>177</v>
      </c>
      <c r="C17" s="525">
        <v>1.5</v>
      </c>
      <c r="D17" t="s">
        <v>311</v>
      </c>
    </row>
    <row r="18" spans="2:4" x14ac:dyDescent="0.3">
      <c r="B18" s="158" t="s">
        <v>380</v>
      </c>
      <c r="C18" s="525">
        <v>1.5</v>
      </c>
      <c r="D18" t="s">
        <v>311</v>
      </c>
    </row>
    <row r="19" spans="2:4" x14ac:dyDescent="0.3">
      <c r="B19" s="158" t="s">
        <v>178</v>
      </c>
      <c r="C19" s="525">
        <v>1.5</v>
      </c>
      <c r="D19" t="s">
        <v>311</v>
      </c>
    </row>
    <row r="20" spans="2:4" x14ac:dyDescent="0.3">
      <c r="B20" s="158" t="s">
        <v>381</v>
      </c>
      <c r="C20" s="525">
        <v>1.5</v>
      </c>
      <c r="D20" t="s">
        <v>311</v>
      </c>
    </row>
    <row r="21" spans="2:4" x14ac:dyDescent="0.3">
      <c r="B21" s="158" t="s">
        <v>179</v>
      </c>
      <c r="C21" s="161">
        <v>1</v>
      </c>
      <c r="D21" t="s">
        <v>311</v>
      </c>
    </row>
    <row r="22" spans="2:4" x14ac:dyDescent="0.3">
      <c r="B22" s="158" t="s">
        <v>382</v>
      </c>
      <c r="C22" s="161">
        <v>1</v>
      </c>
      <c r="D22" t="s">
        <v>311</v>
      </c>
    </row>
    <row r="23" spans="2:4" x14ac:dyDescent="0.3">
      <c r="B23" s="158" t="s">
        <v>180</v>
      </c>
      <c r="C23" s="161">
        <v>1</v>
      </c>
      <c r="D23" t="s">
        <v>311</v>
      </c>
    </row>
    <row r="24" spans="2:4" x14ac:dyDescent="0.3">
      <c r="B24" s="159" t="s">
        <v>181</v>
      </c>
      <c r="C24" s="526">
        <v>1</v>
      </c>
      <c r="D24" t="s">
        <v>311</v>
      </c>
    </row>
    <row r="26" spans="2:4" x14ac:dyDescent="0.3">
      <c r="B26" s="12" t="s">
        <v>296</v>
      </c>
    </row>
    <row r="27" spans="2:4" x14ac:dyDescent="0.3">
      <c r="B27" s="157" t="s">
        <v>582</v>
      </c>
      <c r="C27" s="227">
        <v>1.3764772727272729E-3</v>
      </c>
      <c r="D27" t="s">
        <v>297</v>
      </c>
    </row>
    <row r="28" spans="2:4" x14ac:dyDescent="0.3">
      <c r="B28" s="159" t="s">
        <v>298</v>
      </c>
      <c r="C28" s="228">
        <v>0.35375465909090908</v>
      </c>
      <c r="D28" t="s">
        <v>297</v>
      </c>
    </row>
    <row r="30" spans="2:4" x14ac:dyDescent="0.3">
      <c r="B30" s="12" t="s">
        <v>460</v>
      </c>
      <c r="C30" s="12" t="s">
        <v>168</v>
      </c>
      <c r="D30" s="12" t="s">
        <v>167</v>
      </c>
    </row>
    <row r="31" spans="2:4" x14ac:dyDescent="0.3">
      <c r="B31" s="157" t="s">
        <v>594</v>
      </c>
      <c r="C31" s="171">
        <v>3.0274440000000005</v>
      </c>
      <c r="D31" t="s">
        <v>17</v>
      </c>
    </row>
    <row r="32" spans="2:4" x14ac:dyDescent="0.3">
      <c r="B32" s="158" t="s">
        <v>595</v>
      </c>
      <c r="C32" s="172">
        <v>18.60385046024674</v>
      </c>
      <c r="D32" t="s">
        <v>38</v>
      </c>
    </row>
    <row r="33" spans="2:4" x14ac:dyDescent="0.3">
      <c r="B33" s="158" t="s">
        <v>186</v>
      </c>
      <c r="C33" s="160">
        <v>2.2559999999999998</v>
      </c>
      <c r="D33" t="s">
        <v>329</v>
      </c>
    </row>
    <row r="34" spans="2:4" x14ac:dyDescent="0.3">
      <c r="B34" s="158" t="s">
        <v>187</v>
      </c>
      <c r="C34" s="160">
        <v>2.5760000000000001</v>
      </c>
      <c r="D34" t="s">
        <v>330</v>
      </c>
    </row>
    <row r="35" spans="2:4" x14ac:dyDescent="0.3">
      <c r="B35" s="158" t="s">
        <v>597</v>
      </c>
      <c r="C35" s="173">
        <v>2.3978534999999996</v>
      </c>
      <c r="D35" t="s">
        <v>124</v>
      </c>
    </row>
    <row r="36" spans="2:4" x14ac:dyDescent="0.3">
      <c r="B36" s="159" t="s">
        <v>596</v>
      </c>
      <c r="C36" s="170">
        <v>7.6666666666666661</v>
      </c>
      <c r="D36" t="s">
        <v>461</v>
      </c>
    </row>
    <row r="38" spans="2:4" x14ac:dyDescent="0.3">
      <c r="B38" s="12" t="s">
        <v>183</v>
      </c>
      <c r="C38" s="12" t="s">
        <v>168</v>
      </c>
      <c r="D38" s="12" t="s">
        <v>167</v>
      </c>
    </row>
    <row r="39" spans="2:4" x14ac:dyDescent="0.3">
      <c r="B39" s="157" t="s">
        <v>334</v>
      </c>
      <c r="C39" s="162">
        <v>54.75</v>
      </c>
      <c r="D39" t="s">
        <v>333</v>
      </c>
    </row>
    <row r="40" spans="2:4" x14ac:dyDescent="0.3">
      <c r="B40" s="158" t="s">
        <v>184</v>
      </c>
      <c r="C40" s="163">
        <v>22.75</v>
      </c>
      <c r="D40" t="s">
        <v>333</v>
      </c>
    </row>
    <row r="41" spans="2:4" x14ac:dyDescent="0.3">
      <c r="B41" s="158" t="s">
        <v>185</v>
      </c>
      <c r="C41" s="163">
        <v>1.66</v>
      </c>
      <c r="D41" t="s">
        <v>333</v>
      </c>
    </row>
    <row r="42" spans="2:4" x14ac:dyDescent="0.3">
      <c r="B42" s="158" t="s">
        <v>188</v>
      </c>
      <c r="C42" s="164">
        <v>4198</v>
      </c>
      <c r="D42" t="s">
        <v>194</v>
      </c>
    </row>
    <row r="43" spans="2:4" x14ac:dyDescent="0.3">
      <c r="B43" s="158" t="s">
        <v>189</v>
      </c>
      <c r="C43" s="164">
        <v>135098</v>
      </c>
      <c r="D43" t="s">
        <v>194</v>
      </c>
    </row>
    <row r="44" spans="2:4" x14ac:dyDescent="0.3">
      <c r="B44" s="159" t="s">
        <v>190</v>
      </c>
      <c r="C44" s="165">
        <v>9600000</v>
      </c>
      <c r="D44" t="s">
        <v>194</v>
      </c>
    </row>
    <row r="45" spans="2:4" x14ac:dyDescent="0.3">
      <c r="B45" s="122"/>
      <c r="C45" s="241"/>
    </row>
    <row r="46" spans="2:4" x14ac:dyDescent="0.3">
      <c r="B46" s="91" t="s">
        <v>308</v>
      </c>
      <c r="C46" s="241"/>
    </row>
    <row r="47" spans="2:4" x14ac:dyDescent="0.3">
      <c r="B47" s="91" t="s">
        <v>335</v>
      </c>
      <c r="C47" s="241"/>
    </row>
    <row r="48" spans="2:4" x14ac:dyDescent="0.3">
      <c r="B48" s="14" t="s">
        <v>335</v>
      </c>
      <c r="C48" s="467">
        <v>3614.2867848534288</v>
      </c>
      <c r="D48" s="122" t="s">
        <v>338</v>
      </c>
    </row>
    <row r="50" spans="2:4" x14ac:dyDescent="0.3">
      <c r="B50" s="12" t="s">
        <v>198</v>
      </c>
      <c r="C50" s="12" t="s">
        <v>168</v>
      </c>
      <c r="D50" s="12" t="s">
        <v>167</v>
      </c>
    </row>
    <row r="51" spans="2:4" x14ac:dyDescent="0.3">
      <c r="B51" s="157" t="s">
        <v>199</v>
      </c>
      <c r="C51" s="339" t="s">
        <v>101</v>
      </c>
      <c r="D51" s="149" t="s">
        <v>462</v>
      </c>
    </row>
    <row r="52" spans="2:4" x14ac:dyDescent="0.3">
      <c r="B52" s="166" t="s">
        <v>200</v>
      </c>
      <c r="C52" s="168">
        <v>2032</v>
      </c>
      <c r="D52" s="148" t="s">
        <v>105</v>
      </c>
    </row>
    <row r="53" spans="2:4" x14ac:dyDescent="0.3">
      <c r="B53" s="166" t="s">
        <v>201</v>
      </c>
      <c r="C53" s="168">
        <v>8010</v>
      </c>
      <c r="D53" s="148" t="s">
        <v>105</v>
      </c>
    </row>
    <row r="54" spans="2:4" x14ac:dyDescent="0.3">
      <c r="B54" s="166" t="s">
        <v>202</v>
      </c>
      <c r="C54" s="168">
        <v>366414</v>
      </c>
      <c r="D54" s="148" t="s">
        <v>105</v>
      </c>
    </row>
    <row r="55" spans="2:4" x14ac:dyDescent="0.3">
      <c r="B55" s="167" t="s">
        <v>203</v>
      </c>
      <c r="C55" s="396">
        <v>47341</v>
      </c>
      <c r="D55" s="148" t="s">
        <v>105</v>
      </c>
    </row>
    <row r="56" spans="2:4" x14ac:dyDescent="0.3">
      <c r="B56" s="157" t="s">
        <v>608</v>
      </c>
      <c r="C56" s="99">
        <v>21297.884999999998</v>
      </c>
      <c r="D56" t="s">
        <v>124</v>
      </c>
    </row>
    <row r="57" spans="2:4" x14ac:dyDescent="0.3">
      <c r="B57" s="166" t="s">
        <v>609</v>
      </c>
      <c r="C57" s="169">
        <v>54.530699999999996</v>
      </c>
      <c r="D57" t="s">
        <v>124</v>
      </c>
    </row>
    <row r="58" spans="2:4" x14ac:dyDescent="0.3">
      <c r="B58" s="166" t="s">
        <v>610</v>
      </c>
      <c r="C58" s="169">
        <v>39.678449999999991</v>
      </c>
      <c r="D58" t="s">
        <v>124</v>
      </c>
    </row>
    <row r="59" spans="2:4" x14ac:dyDescent="0.3">
      <c r="B59" s="166" t="s">
        <v>611</v>
      </c>
      <c r="C59" s="169">
        <v>0.43228499999999997</v>
      </c>
      <c r="D59" t="s">
        <v>124</v>
      </c>
    </row>
    <row r="60" spans="2:4" x14ac:dyDescent="0.3">
      <c r="B60" s="167" t="s">
        <v>612</v>
      </c>
      <c r="C60" s="192">
        <v>2.2947675000000003</v>
      </c>
      <c r="D60" t="s">
        <v>160</v>
      </c>
    </row>
    <row r="61" spans="2:4" x14ac:dyDescent="0.3">
      <c r="B61" s="157" t="s">
        <v>613</v>
      </c>
      <c r="C61" s="99">
        <v>78046.666666666657</v>
      </c>
      <c r="D61" t="s">
        <v>110</v>
      </c>
    </row>
    <row r="62" spans="2:4" x14ac:dyDescent="0.3">
      <c r="B62" s="166" t="s">
        <v>614</v>
      </c>
      <c r="C62" s="161">
        <v>21.5901</v>
      </c>
      <c r="D62" t="s">
        <v>463</v>
      </c>
    </row>
    <row r="63" spans="2:4" x14ac:dyDescent="0.3">
      <c r="B63" s="166" t="s">
        <v>615</v>
      </c>
      <c r="C63" s="161">
        <v>416.00789999999995</v>
      </c>
      <c r="D63" t="s">
        <v>463</v>
      </c>
    </row>
    <row r="64" spans="2:4" x14ac:dyDescent="0.3">
      <c r="B64" s="166" t="s">
        <v>616</v>
      </c>
      <c r="C64" s="161">
        <v>20.334300000000002</v>
      </c>
      <c r="D64" t="s">
        <v>463</v>
      </c>
    </row>
    <row r="65" spans="2:28" x14ac:dyDescent="0.3">
      <c r="B65" s="167" t="s">
        <v>617</v>
      </c>
      <c r="C65" s="170">
        <v>8.8590824999999995</v>
      </c>
      <c r="D65" t="s">
        <v>160</v>
      </c>
    </row>
    <row r="67" spans="2:28" x14ac:dyDescent="0.3">
      <c r="B67" s="107" t="s">
        <v>155</v>
      </c>
      <c r="C67" s="110"/>
      <c r="D67" s="111"/>
      <c r="E67" s="79"/>
      <c r="F67" s="112"/>
      <c r="G67" s="79"/>
      <c r="H67" s="79"/>
      <c r="I67" s="79"/>
      <c r="J67" s="79"/>
      <c r="K67" s="79"/>
      <c r="L67" s="79"/>
      <c r="M67" s="79"/>
      <c r="N67" s="79"/>
      <c r="O67" s="79"/>
    </row>
    <row r="68" spans="2:28" x14ac:dyDescent="0.3">
      <c r="B68" s="114"/>
      <c r="C68" s="117">
        <v>2015</v>
      </c>
      <c r="D68" s="117">
        <v>2016</v>
      </c>
      <c r="E68" s="117">
        <v>2017</v>
      </c>
      <c r="F68" s="117">
        <v>2018</v>
      </c>
      <c r="G68" s="117">
        <v>2019</v>
      </c>
      <c r="H68" s="117">
        <v>2020</v>
      </c>
      <c r="I68" s="117">
        <v>2021</v>
      </c>
      <c r="J68" s="117">
        <v>2022</v>
      </c>
      <c r="K68" s="117">
        <v>2023</v>
      </c>
      <c r="L68" s="117">
        <v>2024</v>
      </c>
      <c r="M68" s="117">
        <v>2025</v>
      </c>
      <c r="N68" s="117">
        <v>2026</v>
      </c>
      <c r="O68" s="117">
        <v>2027</v>
      </c>
      <c r="P68" s="117">
        <v>2028</v>
      </c>
      <c r="Q68" s="117">
        <v>2029</v>
      </c>
      <c r="R68" s="117">
        <v>2030</v>
      </c>
      <c r="S68" s="117">
        <v>2031</v>
      </c>
      <c r="T68" s="117">
        <v>2032</v>
      </c>
      <c r="U68" s="117">
        <v>2033</v>
      </c>
      <c r="V68" s="117">
        <v>2034</v>
      </c>
      <c r="W68" s="117">
        <v>2035</v>
      </c>
      <c r="X68" s="117">
        <v>2036</v>
      </c>
      <c r="Y68" s="117">
        <v>2037</v>
      </c>
      <c r="Z68" s="117">
        <v>2038</v>
      </c>
      <c r="AA68" s="117">
        <v>2039</v>
      </c>
      <c r="AB68" s="117">
        <v>2040</v>
      </c>
    </row>
    <row r="69" spans="2:28" x14ac:dyDescent="0.3">
      <c r="B69" s="115" t="s">
        <v>196</v>
      </c>
      <c r="C69" s="118" t="s">
        <v>12</v>
      </c>
      <c r="D69" s="118">
        <v>43</v>
      </c>
      <c r="E69" s="118">
        <v>44</v>
      </c>
      <c r="F69" s="118">
        <v>45</v>
      </c>
      <c r="G69" s="118">
        <v>46</v>
      </c>
      <c r="H69" s="118">
        <v>47</v>
      </c>
      <c r="I69" s="118">
        <v>47</v>
      </c>
      <c r="J69" s="118">
        <v>48</v>
      </c>
      <c r="K69" s="118">
        <v>50</v>
      </c>
      <c r="L69" s="118">
        <v>51</v>
      </c>
      <c r="M69" s="118">
        <v>52</v>
      </c>
      <c r="N69" s="118">
        <v>53</v>
      </c>
      <c r="O69" s="118">
        <v>54</v>
      </c>
      <c r="P69" s="118">
        <v>55</v>
      </c>
      <c r="Q69" s="118">
        <v>55</v>
      </c>
      <c r="R69" s="118">
        <v>56</v>
      </c>
      <c r="S69" s="118">
        <v>58</v>
      </c>
      <c r="T69" s="118">
        <v>59</v>
      </c>
      <c r="U69" s="118">
        <v>60</v>
      </c>
      <c r="V69" s="118">
        <v>61</v>
      </c>
      <c r="W69" s="118">
        <v>62</v>
      </c>
      <c r="X69" s="118">
        <v>63</v>
      </c>
      <c r="Y69" s="118">
        <v>64</v>
      </c>
      <c r="Z69" s="118">
        <v>65</v>
      </c>
      <c r="AA69" s="118">
        <v>67</v>
      </c>
      <c r="AB69" s="118">
        <v>68</v>
      </c>
    </row>
    <row r="70" spans="2:28" x14ac:dyDescent="0.3">
      <c r="B70" s="113" t="s">
        <v>462</v>
      </c>
      <c r="C70" s="143"/>
      <c r="D70" s="144"/>
      <c r="E70" s="145"/>
      <c r="F70" s="145"/>
      <c r="G70" s="146"/>
      <c r="H70" s="146"/>
      <c r="I70" s="146"/>
      <c r="J70" s="146"/>
      <c r="K70" s="146"/>
      <c r="L70" s="145"/>
      <c r="M70" s="145"/>
      <c r="N70" s="145"/>
      <c r="O70" s="145"/>
    </row>
  </sheetData>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2:AI88"/>
  <sheetViews>
    <sheetView workbookViewId="0">
      <selection activeCell="H12" sqref="H12"/>
    </sheetView>
  </sheetViews>
  <sheetFormatPr defaultRowHeight="14.4" x14ac:dyDescent="0.3"/>
  <cols>
    <col min="2" max="2" width="33.88671875" customWidth="1"/>
    <col min="3" max="3" width="17.44140625" customWidth="1"/>
    <col min="4" max="4" width="19.88671875" customWidth="1"/>
    <col min="5" max="6" width="17.6640625" customWidth="1"/>
    <col min="7" max="7" width="14.88671875" customWidth="1"/>
    <col min="8" max="8" width="20.109375" customWidth="1"/>
    <col min="9" max="9" width="17.77734375" customWidth="1"/>
    <col min="10" max="10" width="14.77734375" customWidth="1"/>
    <col min="11" max="11" width="12.44140625" customWidth="1"/>
  </cols>
  <sheetData>
    <row r="2" spans="2:35" x14ac:dyDescent="0.3">
      <c r="B2" s="71" t="s">
        <v>97</v>
      </c>
      <c r="C2" s="72"/>
      <c r="D2" s="73"/>
      <c r="F2" s="107" t="s">
        <v>154</v>
      </c>
      <c r="G2" s="108"/>
      <c r="H2" s="108"/>
      <c r="I2" s="108"/>
      <c r="J2" s="109"/>
      <c r="K2" s="108"/>
      <c r="L2" s="108"/>
      <c r="M2" s="108"/>
      <c r="N2" s="108"/>
      <c r="O2" s="108"/>
      <c r="P2" s="108"/>
      <c r="Q2" s="108"/>
      <c r="R2" s="108"/>
      <c r="S2" s="108"/>
    </row>
    <row r="3" spans="2:35" ht="27.6" x14ac:dyDescent="0.3">
      <c r="B3" s="71" t="s">
        <v>98</v>
      </c>
      <c r="C3" s="82" t="s">
        <v>99</v>
      </c>
      <c r="D3" s="84" t="s">
        <v>195</v>
      </c>
      <c r="F3" s="107" t="s">
        <v>155</v>
      </c>
      <c r="G3" s="110"/>
      <c r="H3" s="111"/>
      <c r="I3" s="79"/>
      <c r="J3" s="112"/>
      <c r="K3" s="79"/>
      <c r="L3" s="79"/>
      <c r="M3" s="79"/>
      <c r="N3" s="79"/>
      <c r="O3" s="79"/>
      <c r="P3" s="79"/>
      <c r="Q3" s="79"/>
      <c r="R3" s="79"/>
      <c r="S3" s="79"/>
    </row>
    <row r="4" spans="2:35" ht="15" thickBot="1" x14ac:dyDescent="0.35">
      <c r="B4" s="77" t="s">
        <v>100</v>
      </c>
      <c r="C4" s="83" t="s">
        <v>101</v>
      </c>
      <c r="D4" s="85" t="s">
        <v>101</v>
      </c>
      <c r="F4" s="114"/>
      <c r="G4" s="114"/>
      <c r="H4" s="114"/>
      <c r="I4" s="117">
        <v>2015</v>
      </c>
      <c r="J4" s="117">
        <v>2016</v>
      </c>
      <c r="K4" s="117">
        <v>2017</v>
      </c>
      <c r="L4" s="117">
        <v>2018</v>
      </c>
      <c r="M4" s="117">
        <v>2019</v>
      </c>
      <c r="N4" s="117">
        <v>2020</v>
      </c>
      <c r="O4" s="117">
        <v>2021</v>
      </c>
      <c r="P4" s="117">
        <v>2022</v>
      </c>
      <c r="Q4" s="117">
        <v>2023</v>
      </c>
      <c r="R4" s="117">
        <v>2024</v>
      </c>
      <c r="S4" s="117">
        <v>2025</v>
      </c>
      <c r="T4" s="117">
        <v>2026</v>
      </c>
      <c r="U4" s="117">
        <v>2027</v>
      </c>
      <c r="V4" s="117">
        <v>2028</v>
      </c>
      <c r="W4" s="117">
        <v>2029</v>
      </c>
      <c r="X4" s="117">
        <v>2030</v>
      </c>
      <c r="Y4" s="117">
        <v>2031</v>
      </c>
      <c r="Z4" s="117">
        <v>2032</v>
      </c>
      <c r="AA4" s="117">
        <v>2033</v>
      </c>
      <c r="AB4" s="117">
        <v>2034</v>
      </c>
      <c r="AC4" s="117">
        <v>2035</v>
      </c>
      <c r="AD4" s="117">
        <v>2036</v>
      </c>
      <c r="AE4" s="117">
        <v>2037</v>
      </c>
      <c r="AF4" s="117">
        <v>2038</v>
      </c>
      <c r="AG4" s="117">
        <v>2039</v>
      </c>
      <c r="AH4" s="117">
        <v>2040</v>
      </c>
    </row>
    <row r="5" spans="2:35" ht="15" thickBot="1" x14ac:dyDescent="0.35">
      <c r="B5" s="77" t="s">
        <v>102</v>
      </c>
      <c r="C5" s="102">
        <v>1999</v>
      </c>
      <c r="D5" s="124">
        <v>2032</v>
      </c>
      <c r="F5" s="115" t="s">
        <v>196</v>
      </c>
      <c r="G5" s="142"/>
      <c r="H5" s="116"/>
      <c r="I5" s="666">
        <v>41</v>
      </c>
      <c r="J5" s="666">
        <v>43</v>
      </c>
      <c r="K5" s="666">
        <v>44</v>
      </c>
      <c r="L5" s="666">
        <v>45</v>
      </c>
      <c r="M5" s="666">
        <v>46</v>
      </c>
      <c r="N5" s="666">
        <v>47</v>
      </c>
      <c r="O5" s="666">
        <v>47</v>
      </c>
      <c r="P5" s="666">
        <v>48</v>
      </c>
      <c r="Q5" s="666">
        <v>50</v>
      </c>
      <c r="R5" s="666">
        <v>51</v>
      </c>
      <c r="S5" s="666">
        <v>52</v>
      </c>
      <c r="T5" s="666">
        <v>53</v>
      </c>
      <c r="U5" s="666">
        <v>54</v>
      </c>
      <c r="V5" s="666">
        <v>55</v>
      </c>
      <c r="W5" s="666">
        <v>55</v>
      </c>
      <c r="X5" s="666">
        <v>56</v>
      </c>
      <c r="Y5" s="666">
        <v>58</v>
      </c>
      <c r="Z5" s="666">
        <v>59</v>
      </c>
      <c r="AA5" s="666">
        <v>60</v>
      </c>
      <c r="AB5" s="666">
        <v>61</v>
      </c>
      <c r="AC5" s="666">
        <v>62</v>
      </c>
      <c r="AD5" s="666">
        <v>63</v>
      </c>
      <c r="AE5" s="666">
        <v>64</v>
      </c>
      <c r="AF5" s="666">
        <v>65</v>
      </c>
      <c r="AG5" s="666">
        <v>67</v>
      </c>
      <c r="AH5" s="666">
        <v>68</v>
      </c>
      <c r="AI5" s="147"/>
    </row>
    <row r="6" spans="2:35" ht="15" thickBot="1" x14ac:dyDescent="0.35">
      <c r="B6" s="77" t="s">
        <v>103</v>
      </c>
      <c r="C6" s="102">
        <v>7877</v>
      </c>
      <c r="D6" s="124">
        <v>8010</v>
      </c>
      <c r="F6" s="113" t="s">
        <v>197</v>
      </c>
      <c r="G6" s="143"/>
      <c r="H6" s="144"/>
      <c r="I6" s="145"/>
      <c r="J6" s="145"/>
      <c r="K6" s="146"/>
      <c r="L6" s="146"/>
      <c r="M6" s="146"/>
      <c r="N6" s="146"/>
      <c r="O6" s="146"/>
      <c r="P6" s="145"/>
      <c r="Q6" s="145"/>
      <c r="R6" s="145"/>
      <c r="S6" s="145"/>
    </row>
    <row r="7" spans="2:35" ht="15" thickBot="1" x14ac:dyDescent="0.35">
      <c r="B7" s="77" t="s">
        <v>104</v>
      </c>
      <c r="C7" s="102">
        <v>360383</v>
      </c>
      <c r="D7" s="124">
        <v>366414</v>
      </c>
    </row>
    <row r="8" spans="2:35" ht="15" thickBot="1" x14ac:dyDescent="0.35">
      <c r="B8" s="78" t="s">
        <v>144</v>
      </c>
      <c r="C8" s="103">
        <v>46561</v>
      </c>
      <c r="D8" s="125">
        <v>47341</v>
      </c>
    </row>
    <row r="9" spans="2:35" x14ac:dyDescent="0.3">
      <c r="B9" s="74" t="s">
        <v>105</v>
      </c>
      <c r="C9" s="79"/>
      <c r="D9" s="75"/>
    </row>
    <row r="10" spans="2:35" x14ac:dyDescent="0.3">
      <c r="B10" s="80" t="s">
        <v>106</v>
      </c>
      <c r="C10" s="81"/>
      <c r="D10" s="76"/>
    </row>
    <row r="11" spans="2:35" ht="14.4" customHeight="1" x14ac:dyDescent="0.3"/>
    <row r="12" spans="2:35" ht="15" thickBot="1" x14ac:dyDescent="0.35"/>
    <row r="13" spans="2:35" ht="15" thickBot="1" x14ac:dyDescent="0.35">
      <c r="B13" s="66" t="s">
        <v>107</v>
      </c>
      <c r="C13" s="664">
        <v>8887</v>
      </c>
      <c r="D13" s="397" t="s">
        <v>108</v>
      </c>
      <c r="E13" t="s">
        <v>110</v>
      </c>
    </row>
    <row r="14" spans="2:35" ht="15" thickBot="1" x14ac:dyDescent="0.35">
      <c r="B14" s="66" t="s">
        <v>109</v>
      </c>
      <c r="C14" s="665">
        <v>10180</v>
      </c>
      <c r="D14" s="397" t="s">
        <v>108</v>
      </c>
      <c r="E14" t="s">
        <v>110</v>
      </c>
    </row>
    <row r="17" spans="2:15" x14ac:dyDescent="0.3">
      <c r="B17" s="13"/>
      <c r="C17" s="800" t="s">
        <v>91</v>
      </c>
      <c r="D17" s="800"/>
      <c r="E17" s="800" t="s">
        <v>113</v>
      </c>
      <c r="F17" s="800"/>
      <c r="G17" s="800" t="s">
        <v>132</v>
      </c>
      <c r="H17" s="800"/>
      <c r="I17" s="800"/>
    </row>
    <row r="18" spans="2:15" ht="43.8" thickBot="1" x14ac:dyDescent="0.35">
      <c r="B18" s="105" t="s">
        <v>111</v>
      </c>
      <c r="C18" s="100" t="s">
        <v>112</v>
      </c>
      <c r="D18" s="100" t="s">
        <v>122</v>
      </c>
      <c r="E18" s="100" t="s">
        <v>112</v>
      </c>
      <c r="F18" s="100" t="s">
        <v>122</v>
      </c>
      <c r="G18" s="100" t="s">
        <v>131</v>
      </c>
      <c r="H18" s="667" t="s">
        <v>122</v>
      </c>
      <c r="I18" s="673" t="s">
        <v>603</v>
      </c>
      <c r="K18" s="799" t="s">
        <v>583</v>
      </c>
      <c r="L18" s="799"/>
      <c r="M18" s="799"/>
      <c r="N18" s="799"/>
      <c r="O18" s="4"/>
    </row>
    <row r="19" spans="2:15" ht="15" thickBot="1" x14ac:dyDescent="0.35">
      <c r="B19" s="679" t="s">
        <v>114</v>
      </c>
      <c r="C19" s="672">
        <v>1.034</v>
      </c>
      <c r="D19" s="680">
        <f>C19/$C$27</f>
        <v>24.921667871776332</v>
      </c>
      <c r="E19" s="672">
        <v>1.224</v>
      </c>
      <c r="F19" s="681">
        <f>E19/$C$27</f>
        <v>29.501084598698483</v>
      </c>
      <c r="G19" s="682">
        <f>(C19+E19)/2</f>
        <v>1.129</v>
      </c>
      <c r="H19" s="683">
        <f>(D19+F19)/2</f>
        <v>27.21137623523741</v>
      </c>
      <c r="I19" s="684">
        <f>G19*$N$22</f>
        <v>54.530699999999996</v>
      </c>
      <c r="K19" s="6"/>
      <c r="L19" s="639" t="s">
        <v>584</v>
      </c>
      <c r="M19" s="639" t="s">
        <v>479</v>
      </c>
      <c r="N19" s="639" t="s">
        <v>93</v>
      </c>
    </row>
    <row r="20" spans="2:15" x14ac:dyDescent="0.3">
      <c r="B20" s="674" t="s">
        <v>115</v>
      </c>
      <c r="C20" s="675">
        <v>1.077</v>
      </c>
      <c r="D20" s="226">
        <f t="shared" ref="D20:F26" si="0">C20/$C$27</f>
        <v>25.958062183658711</v>
      </c>
      <c r="E20" s="675">
        <v>1.2889999999999999</v>
      </c>
      <c r="F20" s="676">
        <f t="shared" si="0"/>
        <v>31.067727163171849</v>
      </c>
      <c r="G20" s="677">
        <f t="shared" ref="G20:G26" si="1">(C20+E20)/2</f>
        <v>1.1829999999999998</v>
      </c>
      <c r="H20" s="392">
        <f t="shared" ref="H20:H26" si="2">(D20+F20)/2</f>
        <v>28.512894673415282</v>
      </c>
      <c r="I20" s="678">
        <f t="shared" ref="I20:I26" si="3">G20*$N$22</f>
        <v>57.138899999999985</v>
      </c>
      <c r="K20" s="6" t="s">
        <v>585</v>
      </c>
      <c r="L20" s="639">
        <v>21.2</v>
      </c>
      <c r="M20" s="639">
        <v>48.3</v>
      </c>
      <c r="N20" s="639"/>
      <c r="O20" t="s">
        <v>586</v>
      </c>
    </row>
    <row r="21" spans="2:15" ht="15" thickBot="1" x14ac:dyDescent="0.35">
      <c r="B21" s="685" t="s">
        <v>116</v>
      </c>
      <c r="C21" s="686">
        <v>9.4</v>
      </c>
      <c r="D21" s="162">
        <f t="shared" si="0"/>
        <v>226.56061701614848</v>
      </c>
      <c r="E21" s="686">
        <v>11.84</v>
      </c>
      <c r="F21" s="687">
        <f t="shared" si="0"/>
        <v>285.36996866714873</v>
      </c>
      <c r="G21" s="688">
        <f t="shared" si="1"/>
        <v>10.620000000000001</v>
      </c>
      <c r="H21" s="393">
        <f t="shared" si="2"/>
        <v>255.96529284164859</v>
      </c>
      <c r="I21" s="689">
        <f t="shared" si="3"/>
        <v>512.94600000000003</v>
      </c>
      <c r="K21" s="6" t="s">
        <v>587</v>
      </c>
      <c r="L21" s="639">
        <v>0</v>
      </c>
      <c r="M21" s="639">
        <v>1</v>
      </c>
      <c r="N21" s="639">
        <v>1</v>
      </c>
      <c r="O21" t="s">
        <v>17</v>
      </c>
    </row>
    <row r="22" spans="2:15" ht="15" thickBot="1" x14ac:dyDescent="0.35">
      <c r="B22" s="679" t="s">
        <v>117</v>
      </c>
      <c r="C22" s="694">
        <v>0.69299999999999995</v>
      </c>
      <c r="D22" s="695">
        <f t="shared" si="0"/>
        <v>16.70281995661605</v>
      </c>
      <c r="E22" s="694">
        <v>0.95</v>
      </c>
      <c r="F22" s="696">
        <f t="shared" si="0"/>
        <v>22.897083634610748</v>
      </c>
      <c r="G22" s="682">
        <f t="shared" si="1"/>
        <v>0.8214999999999999</v>
      </c>
      <c r="H22" s="683">
        <f t="shared" si="2"/>
        <v>19.799951795613399</v>
      </c>
      <c r="I22" s="684">
        <f t="shared" si="3"/>
        <v>39.678449999999991</v>
      </c>
      <c r="K22" s="13" t="s">
        <v>588</v>
      </c>
      <c r="L22" s="639"/>
      <c r="M22" s="639"/>
      <c r="N22" s="642">
        <f>(L20*L21+M20*M21)/N21</f>
        <v>48.3</v>
      </c>
    </row>
    <row r="23" spans="2:15" x14ac:dyDescent="0.3">
      <c r="B23" s="674" t="s">
        <v>118</v>
      </c>
      <c r="C23" s="675">
        <v>4.4000000000000003E-3</v>
      </c>
      <c r="D23" s="690">
        <f t="shared" si="0"/>
        <v>0.10604965051819716</v>
      </c>
      <c r="E23" s="675">
        <v>4.8999999999999998E-3</v>
      </c>
      <c r="F23" s="691">
        <f t="shared" si="0"/>
        <v>0.11810074716799229</v>
      </c>
      <c r="G23" s="692">
        <f t="shared" si="1"/>
        <v>4.6499999999999996E-3</v>
      </c>
      <c r="H23" s="392">
        <f t="shared" si="2"/>
        <v>0.11207519884309472</v>
      </c>
      <c r="I23" s="693">
        <f t="shared" si="3"/>
        <v>0.22459499999999996</v>
      </c>
    </row>
    <row r="24" spans="2:15" ht="15" thickBot="1" x14ac:dyDescent="0.35">
      <c r="B24" s="685" t="s">
        <v>134</v>
      </c>
      <c r="C24" s="686">
        <v>4.1000000000000003E-3</v>
      </c>
      <c r="D24" s="697">
        <f t="shared" si="0"/>
        <v>9.881899252832009E-2</v>
      </c>
      <c r="E24" s="686">
        <v>4.4999999999999997E-3</v>
      </c>
      <c r="F24" s="698">
        <f t="shared" si="0"/>
        <v>0.10845986984815617</v>
      </c>
      <c r="G24" s="699">
        <f t="shared" si="1"/>
        <v>4.3E-3</v>
      </c>
      <c r="H24" s="393">
        <f t="shared" si="2"/>
        <v>0.10363943118823812</v>
      </c>
      <c r="I24" s="700">
        <f t="shared" si="3"/>
        <v>0.20768999999999999</v>
      </c>
    </row>
    <row r="25" spans="2:15" ht="15" thickBot="1" x14ac:dyDescent="0.35">
      <c r="B25" s="679" t="s">
        <v>119</v>
      </c>
      <c r="C25" s="694">
        <f>C23+C24</f>
        <v>8.5000000000000006E-3</v>
      </c>
      <c r="D25" s="701">
        <f t="shared" si="0"/>
        <v>0.20486864304651725</v>
      </c>
      <c r="E25" s="694">
        <f>E23+E24</f>
        <v>9.3999999999999986E-3</v>
      </c>
      <c r="F25" s="702">
        <f t="shared" si="0"/>
        <v>0.22656061701614844</v>
      </c>
      <c r="G25" s="703">
        <f t="shared" si="1"/>
        <v>8.9499999999999996E-3</v>
      </c>
      <c r="H25" s="683">
        <f t="shared" si="2"/>
        <v>0.21571463003133284</v>
      </c>
      <c r="I25" s="704">
        <f t="shared" si="3"/>
        <v>0.43228499999999997</v>
      </c>
    </row>
    <row r="26" spans="2:15" ht="15" thickBot="1" x14ac:dyDescent="0.35">
      <c r="B26" s="679" t="s">
        <v>120</v>
      </c>
      <c r="C26" s="694">
        <v>368.4</v>
      </c>
      <c r="D26" s="706">
        <f t="shared" si="0"/>
        <v>8879.2480115690523</v>
      </c>
      <c r="E26" s="694">
        <v>513.5</v>
      </c>
      <c r="F26" s="707">
        <f t="shared" si="0"/>
        <v>12376.476259339601</v>
      </c>
      <c r="G26" s="682">
        <f t="shared" si="1"/>
        <v>440.95</v>
      </c>
      <c r="H26" s="683">
        <f t="shared" si="2"/>
        <v>10627.862135454327</v>
      </c>
      <c r="I26" s="684">
        <f t="shared" si="3"/>
        <v>21297.884999999998</v>
      </c>
    </row>
    <row r="27" spans="2:15" x14ac:dyDescent="0.3">
      <c r="B27" s="705" t="s">
        <v>121</v>
      </c>
      <c r="C27" s="526">
        <v>4.1489999999999999E-2</v>
      </c>
      <c r="D27" s="95"/>
      <c r="E27" s="526">
        <v>5.7799999999999997E-2</v>
      </c>
      <c r="F27" s="95"/>
      <c r="G27" s="95"/>
      <c r="H27" s="106"/>
    </row>
    <row r="28" spans="2:15" x14ac:dyDescent="0.3">
      <c r="B28" t="s">
        <v>124</v>
      </c>
    </row>
    <row r="30" spans="2:15" x14ac:dyDescent="0.3">
      <c r="B30" s="801" t="s">
        <v>136</v>
      </c>
      <c r="C30" s="802"/>
      <c r="D30" s="802"/>
      <c r="E30" s="802"/>
      <c r="F30" s="803"/>
    </row>
    <row r="31" spans="2:15" ht="29.4" thickBot="1" x14ac:dyDescent="0.35">
      <c r="B31" s="105" t="s">
        <v>133</v>
      </c>
      <c r="C31" s="100" t="s">
        <v>131</v>
      </c>
      <c r="D31" s="643" t="s">
        <v>602</v>
      </c>
      <c r="E31" s="397" t="s">
        <v>592</v>
      </c>
      <c r="F31" s="394">
        <f>OperatingCosts!E37</f>
        <v>7.6666666666666661</v>
      </c>
      <c r="G31" t="s">
        <v>129</v>
      </c>
    </row>
    <row r="32" spans="2:15" ht="15" thickBot="1" x14ac:dyDescent="0.35">
      <c r="B32" s="668" t="s">
        <v>114</v>
      </c>
      <c r="C32" s="672">
        <v>0.44700000000000001</v>
      </c>
      <c r="D32" s="126">
        <f>C32*$N$22</f>
        <v>21.5901</v>
      </c>
      <c r="E32" s="669" t="s">
        <v>145</v>
      </c>
      <c r="F32" s="398">
        <f>C14</f>
        <v>10180</v>
      </c>
      <c r="G32" t="s">
        <v>110</v>
      </c>
    </row>
    <row r="33" spans="2:11" ht="15" thickBot="1" x14ac:dyDescent="0.35">
      <c r="B33" s="95" t="s">
        <v>115</v>
      </c>
      <c r="C33" s="671">
        <v>0.45300000000000001</v>
      </c>
      <c r="D33" s="526">
        <f t="shared" ref="D33:D38" si="4">C33*$N$22</f>
        <v>21.879899999999999</v>
      </c>
      <c r="E33" s="670" t="s">
        <v>601</v>
      </c>
      <c r="F33" s="128">
        <f>F32*F31</f>
        <v>78046.666666666657</v>
      </c>
    </row>
    <row r="34" spans="2:11" ht="15" thickBot="1" x14ac:dyDescent="0.35">
      <c r="B34" s="97" t="s">
        <v>116</v>
      </c>
      <c r="C34" s="661">
        <v>2.3109999999999999</v>
      </c>
      <c r="D34" s="640">
        <f t="shared" si="4"/>
        <v>111.62129999999999</v>
      </c>
    </row>
    <row r="35" spans="2:11" ht="15" thickBot="1" x14ac:dyDescent="0.35">
      <c r="B35" s="668" t="s">
        <v>117</v>
      </c>
      <c r="C35" s="672">
        <v>8.6129999999999995</v>
      </c>
      <c r="D35" s="126">
        <f t="shared" si="4"/>
        <v>416.00789999999995</v>
      </c>
    </row>
    <row r="36" spans="2:11" x14ac:dyDescent="0.3">
      <c r="B36" s="95" t="s">
        <v>134</v>
      </c>
      <c r="C36" s="671">
        <v>0.20200000000000001</v>
      </c>
      <c r="D36" s="526">
        <f t="shared" si="4"/>
        <v>9.7566000000000006</v>
      </c>
    </row>
    <row r="37" spans="2:11" ht="15" thickBot="1" x14ac:dyDescent="0.35">
      <c r="B37" s="97" t="s">
        <v>118</v>
      </c>
      <c r="C37" s="661">
        <v>0.219</v>
      </c>
      <c r="D37" s="640">
        <f t="shared" si="4"/>
        <v>10.5777</v>
      </c>
    </row>
    <row r="38" spans="2:11" ht="15" thickBot="1" x14ac:dyDescent="0.35">
      <c r="B38" s="668" t="s">
        <v>135</v>
      </c>
      <c r="C38" s="672">
        <f>C36+C37</f>
        <v>0.42100000000000004</v>
      </c>
      <c r="D38" s="126">
        <f t="shared" si="4"/>
        <v>20.334300000000002</v>
      </c>
    </row>
    <row r="39" spans="2:11" x14ac:dyDescent="0.3">
      <c r="B39" t="s">
        <v>143</v>
      </c>
    </row>
    <row r="42" spans="2:11" x14ac:dyDescent="0.3">
      <c r="B42" s="12" t="s">
        <v>137</v>
      </c>
      <c r="H42" s="12" t="s">
        <v>148</v>
      </c>
    </row>
    <row r="43" spans="2:11" s="4" customFormat="1" ht="29.4" thickBot="1" x14ac:dyDescent="0.35">
      <c r="B43" s="104" t="s">
        <v>133</v>
      </c>
      <c r="C43" s="9" t="s">
        <v>138</v>
      </c>
      <c r="D43" s="9" t="s">
        <v>139</v>
      </c>
      <c r="E43" s="93" t="s">
        <v>140</v>
      </c>
      <c r="F43" s="93" t="s">
        <v>141</v>
      </c>
      <c r="H43" s="92" t="s">
        <v>125</v>
      </c>
      <c r="I43" s="9" t="s">
        <v>146</v>
      </c>
      <c r="J43" s="9" t="s">
        <v>151</v>
      </c>
      <c r="K43" s="22" t="s">
        <v>152</v>
      </c>
    </row>
    <row r="44" spans="2:11" ht="15" thickBot="1" x14ac:dyDescent="0.35">
      <c r="B44" s="94" t="s">
        <v>114</v>
      </c>
      <c r="C44" s="70">
        <v>2.6829999999999998</v>
      </c>
      <c r="D44" s="69">
        <v>4.0430000000000001</v>
      </c>
      <c r="E44" s="715">
        <f t="shared" ref="E44:E49" si="5">(C44+D44)/2</f>
        <v>3.363</v>
      </c>
      <c r="F44" s="715">
        <v>3.4550000000000001</v>
      </c>
      <c r="H44" s="6" t="s">
        <v>147</v>
      </c>
      <c r="I44" s="21">
        <v>0.16</v>
      </c>
      <c r="J44" s="55">
        <f>C13</f>
        <v>8887</v>
      </c>
      <c r="K44" s="55">
        <f>I44*J44</f>
        <v>1421.92</v>
      </c>
    </row>
    <row r="45" spans="2:11" x14ac:dyDescent="0.3">
      <c r="B45" s="106" t="s">
        <v>115</v>
      </c>
      <c r="C45" s="68">
        <v>3.1629999999999998</v>
      </c>
      <c r="D45" s="68">
        <v>4.8380000000000001</v>
      </c>
      <c r="E45" s="716">
        <f t="shared" si="5"/>
        <v>4.0004999999999997</v>
      </c>
      <c r="F45" s="716">
        <v>3.5030000000000001</v>
      </c>
      <c r="H45" s="6" t="s">
        <v>10</v>
      </c>
      <c r="I45" s="21">
        <v>0.39</v>
      </c>
      <c r="J45" s="55">
        <f>C13</f>
        <v>8887</v>
      </c>
      <c r="K45" s="55">
        <f>I45*J45</f>
        <v>3465.9300000000003</v>
      </c>
    </row>
    <row r="46" spans="2:11" ht="15" thickBot="1" x14ac:dyDescent="0.35">
      <c r="B46" s="105" t="s">
        <v>116</v>
      </c>
      <c r="C46" s="68">
        <v>71.224999999999994</v>
      </c>
      <c r="D46" s="68">
        <v>72.724999999999994</v>
      </c>
      <c r="E46" s="717">
        <f t="shared" si="5"/>
        <v>71.974999999999994</v>
      </c>
      <c r="F46" s="717">
        <v>25.628</v>
      </c>
      <c r="H46" s="97" t="s">
        <v>149</v>
      </c>
      <c r="I46" s="21">
        <v>0.84</v>
      </c>
      <c r="J46" s="99">
        <f>C13</f>
        <v>8887</v>
      </c>
      <c r="K46" s="99">
        <f>I46*J46</f>
        <v>7465.08</v>
      </c>
    </row>
    <row r="47" spans="2:11" ht="15" thickBot="1" x14ac:dyDescent="0.35">
      <c r="B47" s="94" t="s">
        <v>117</v>
      </c>
      <c r="C47" s="70">
        <v>3.5150000000000001</v>
      </c>
      <c r="D47" s="69">
        <v>4.0650000000000004</v>
      </c>
      <c r="E47" s="715">
        <f t="shared" si="5"/>
        <v>3.79</v>
      </c>
      <c r="F47" s="715">
        <v>33.762999999999998</v>
      </c>
      <c r="H47" s="94" t="s">
        <v>127</v>
      </c>
      <c r="I47" s="395">
        <f>AVERAGE(I44:I46)</f>
        <v>0.46333333333333337</v>
      </c>
      <c r="J47" s="718">
        <f>C13</f>
        <v>8887</v>
      </c>
      <c r="K47" s="718">
        <f>I47*J47</f>
        <v>4117.6433333333334</v>
      </c>
    </row>
    <row r="48" spans="2:11" ht="15" thickBot="1" x14ac:dyDescent="0.35">
      <c r="B48" s="106" t="s">
        <v>134</v>
      </c>
      <c r="C48" s="68">
        <v>0</v>
      </c>
      <c r="D48" s="68">
        <v>0</v>
      </c>
      <c r="E48" s="716">
        <f t="shared" si="5"/>
        <v>0</v>
      </c>
      <c r="F48" s="716">
        <v>1.1000000000000001</v>
      </c>
      <c r="H48" s="94" t="s">
        <v>150</v>
      </c>
      <c r="I48" s="395">
        <v>0.64</v>
      </c>
      <c r="J48" s="719">
        <f>C14</f>
        <v>10180</v>
      </c>
      <c r="K48" s="719">
        <f>I48*J48</f>
        <v>6515.2</v>
      </c>
    </row>
    <row r="49" spans="2:9" ht="15" thickBot="1" x14ac:dyDescent="0.35">
      <c r="B49" s="105" t="s">
        <v>118</v>
      </c>
      <c r="C49" s="68">
        <v>0</v>
      </c>
      <c r="D49" s="68">
        <v>0</v>
      </c>
      <c r="E49" s="717">
        <f t="shared" si="5"/>
        <v>0</v>
      </c>
      <c r="F49" s="717">
        <v>1.196</v>
      </c>
      <c r="H49" t="s">
        <v>153</v>
      </c>
    </row>
    <row r="50" spans="2:9" ht="15" thickBot="1" x14ac:dyDescent="0.35">
      <c r="B50" s="94" t="s">
        <v>135</v>
      </c>
      <c r="C50" s="70">
        <f>C48+C49</f>
        <v>0</v>
      </c>
      <c r="D50" s="69">
        <f>D48+D49</f>
        <v>0</v>
      </c>
      <c r="E50" s="715">
        <f>E48+E49</f>
        <v>0</v>
      </c>
      <c r="F50" s="715">
        <f>F48+F49</f>
        <v>2.2960000000000003</v>
      </c>
    </row>
    <row r="51" spans="2:9" x14ac:dyDescent="0.3">
      <c r="B51" t="s">
        <v>142</v>
      </c>
    </row>
    <row r="53" spans="2:9" ht="15" thickBot="1" x14ac:dyDescent="0.35">
      <c r="B53" s="91" t="s">
        <v>165</v>
      </c>
      <c r="G53" s="91" t="s">
        <v>606</v>
      </c>
    </row>
    <row r="54" spans="2:9" ht="15" thickBot="1" x14ac:dyDescent="0.35">
      <c r="B54" s="91" t="s">
        <v>156</v>
      </c>
      <c r="C54" s="1" t="s">
        <v>157</v>
      </c>
      <c r="D54" s="1" t="s">
        <v>158</v>
      </c>
      <c r="E54" s="1" t="s">
        <v>161</v>
      </c>
      <c r="F54" s="1" t="s">
        <v>159</v>
      </c>
      <c r="G54" s="641" t="s">
        <v>125</v>
      </c>
      <c r="H54" s="454" t="s">
        <v>604</v>
      </c>
      <c r="I54" s="710" t="s">
        <v>607</v>
      </c>
    </row>
    <row r="55" spans="2:9" x14ac:dyDescent="0.3">
      <c r="B55" s="1">
        <v>1990</v>
      </c>
      <c r="C55" s="1">
        <v>5.0299999999999997E-2</v>
      </c>
      <c r="D55" s="1">
        <v>9.4399999999999998E-2</v>
      </c>
      <c r="E55" s="1">
        <f>AVERAGE(C55:D55)</f>
        <v>7.2349999999999998E-2</v>
      </c>
      <c r="F55" s="1">
        <v>0.45490000000000003</v>
      </c>
      <c r="G55" s="709" t="s">
        <v>605</v>
      </c>
      <c r="H55" s="711">
        <f>AVERAGE(E55:E82)</f>
        <v>4.7510714285714295E-2</v>
      </c>
      <c r="I55" s="713">
        <f>H55*$N$22</f>
        <v>2.2947675000000003</v>
      </c>
    </row>
    <row r="56" spans="2:9" ht="15" thickBot="1" x14ac:dyDescent="0.35">
      <c r="B56" s="1">
        <v>1991</v>
      </c>
      <c r="C56" s="1">
        <v>4.0099999999999997E-2</v>
      </c>
      <c r="D56" s="1">
        <v>9.4700000000000006E-2</v>
      </c>
      <c r="E56" s="1">
        <f t="shared" ref="E56:E82" si="6">AVERAGE(C56:D56)</f>
        <v>6.7400000000000002E-2</v>
      </c>
      <c r="F56" s="1">
        <v>0.374</v>
      </c>
      <c r="G56" s="708" t="s">
        <v>4</v>
      </c>
      <c r="H56" s="712">
        <f>AVERAGE(F55:F82)</f>
        <v>0.18341785714285713</v>
      </c>
      <c r="I56" s="714">
        <f>H56*$N$22</f>
        <v>8.8590824999999995</v>
      </c>
    </row>
    <row r="57" spans="2:9" x14ac:dyDescent="0.3">
      <c r="B57" s="1">
        <v>1992</v>
      </c>
      <c r="C57" s="1">
        <v>3.95E-2</v>
      </c>
      <c r="D57" s="1">
        <v>9.6600000000000005E-2</v>
      </c>
      <c r="E57" s="1">
        <f t="shared" si="6"/>
        <v>6.8049999999999999E-2</v>
      </c>
      <c r="F57" s="1">
        <v>0.3695</v>
      </c>
    </row>
    <row r="58" spans="2:9" x14ac:dyDescent="0.3">
      <c r="B58" s="1">
        <v>1993</v>
      </c>
      <c r="C58" s="1">
        <v>3.7100000000000001E-2</v>
      </c>
      <c r="D58" s="1">
        <v>0.89800000000000002</v>
      </c>
      <c r="E58" s="1">
        <f t="shared" si="6"/>
        <v>0.46755000000000002</v>
      </c>
      <c r="F58" s="1">
        <v>0.36330000000000001</v>
      </c>
    </row>
    <row r="59" spans="2:9" x14ac:dyDescent="0.3">
      <c r="B59" s="1">
        <v>1994</v>
      </c>
      <c r="C59" s="1">
        <v>3.5900000000000001E-2</v>
      </c>
      <c r="D59" s="1">
        <v>9.9199999999999997E-2</v>
      </c>
      <c r="E59" s="1">
        <f t="shared" si="6"/>
        <v>6.7549999999999999E-2</v>
      </c>
      <c r="F59" s="1">
        <v>0.35870000000000002</v>
      </c>
    </row>
    <row r="60" spans="2:9" x14ac:dyDescent="0.3">
      <c r="B60" s="1">
        <v>1995</v>
      </c>
      <c r="C60" s="1">
        <v>3.4000000000000002E-2</v>
      </c>
      <c r="D60" s="1">
        <v>9.0999999999999998E-2</v>
      </c>
      <c r="E60" s="1">
        <f t="shared" si="6"/>
        <v>6.25E-2</v>
      </c>
      <c r="F60" s="1">
        <v>0.35370000000000001</v>
      </c>
    </row>
    <row r="61" spans="2:9" x14ac:dyDescent="0.3">
      <c r="B61" s="1">
        <v>1996</v>
      </c>
      <c r="C61" s="1">
        <v>3.2899999999999999E-2</v>
      </c>
      <c r="D61" s="1">
        <v>8.3000000000000004E-2</v>
      </c>
      <c r="E61" s="1">
        <f t="shared" si="6"/>
        <v>5.7950000000000002E-2</v>
      </c>
      <c r="F61" s="1">
        <v>0.3478</v>
      </c>
    </row>
    <row r="62" spans="2:9" x14ac:dyDescent="0.3">
      <c r="B62" s="1">
        <v>1997</v>
      </c>
      <c r="C62" s="1">
        <v>3.09E-2</v>
      </c>
      <c r="D62" s="1">
        <v>8.6499999999999994E-2</v>
      </c>
      <c r="E62" s="1">
        <f t="shared" si="6"/>
        <v>5.8699999999999995E-2</v>
      </c>
      <c r="F62" s="1">
        <v>0.34250000000000003</v>
      </c>
    </row>
    <row r="63" spans="2:9" x14ac:dyDescent="0.3">
      <c r="B63" s="1">
        <v>1998</v>
      </c>
      <c r="C63" s="1">
        <v>2.9700000000000001E-2</v>
      </c>
      <c r="D63" s="1">
        <v>8.6599999999999996E-2</v>
      </c>
      <c r="E63" s="1">
        <f t="shared" si="6"/>
        <v>5.815E-2</v>
      </c>
      <c r="F63" s="1">
        <v>0.33660000000000001</v>
      </c>
    </row>
    <row r="64" spans="2:9" x14ac:dyDescent="0.3">
      <c r="B64" s="1">
        <v>1999</v>
      </c>
      <c r="C64" s="1">
        <v>2.87E-2</v>
      </c>
      <c r="D64" s="1">
        <v>8.4000000000000005E-2</v>
      </c>
      <c r="E64" s="1">
        <f t="shared" si="6"/>
        <v>5.6350000000000004E-2</v>
      </c>
      <c r="F64" s="1">
        <v>0.33040000000000003</v>
      </c>
    </row>
    <row r="65" spans="2:6" x14ac:dyDescent="0.3">
      <c r="B65" s="1">
        <v>2000</v>
      </c>
      <c r="C65" s="1">
        <v>2.53E-2</v>
      </c>
      <c r="D65" s="1">
        <v>7.3200000000000001E-2</v>
      </c>
      <c r="E65" s="1">
        <f t="shared" si="6"/>
        <v>4.9250000000000002E-2</v>
      </c>
      <c r="F65" s="1">
        <v>0.30130000000000001</v>
      </c>
    </row>
    <row r="66" spans="2:6" x14ac:dyDescent="0.3">
      <c r="B66" s="1">
        <v>2001</v>
      </c>
      <c r="C66" s="1">
        <v>2.24E-2</v>
      </c>
      <c r="D66" s="1">
        <v>7.85E-2</v>
      </c>
      <c r="E66" s="1">
        <f t="shared" si="6"/>
        <v>5.0450000000000002E-2</v>
      </c>
      <c r="F66" s="1">
        <v>0.27</v>
      </c>
    </row>
    <row r="67" spans="2:6" x14ac:dyDescent="0.3">
      <c r="B67" s="1">
        <v>2002</v>
      </c>
      <c r="C67" s="1">
        <v>1.89E-2</v>
      </c>
      <c r="D67" s="1">
        <v>6.6500000000000004E-2</v>
      </c>
      <c r="E67" s="1">
        <f t="shared" si="6"/>
        <v>4.2700000000000002E-2</v>
      </c>
      <c r="F67" s="1">
        <v>0.23469999999999999</v>
      </c>
    </row>
    <row r="68" spans="2:6" x14ac:dyDescent="0.3">
      <c r="B68" s="1">
        <v>2003</v>
      </c>
      <c r="C68" s="1">
        <v>1.5299999999999999E-2</v>
      </c>
      <c r="D68" s="1">
        <v>5.4300000000000001E-2</v>
      </c>
      <c r="E68" s="1">
        <f t="shared" si="6"/>
        <v>3.4799999999999998E-2</v>
      </c>
      <c r="F68" s="1">
        <v>0.19539999999999999</v>
      </c>
    </row>
    <row r="69" spans="2:6" x14ac:dyDescent="0.3">
      <c r="B69" s="1">
        <v>2004</v>
      </c>
      <c r="C69" s="1">
        <v>1.15E-2</v>
      </c>
      <c r="D69" s="1">
        <v>4.1399999999999999E-2</v>
      </c>
      <c r="E69" s="1">
        <f t="shared" si="6"/>
        <v>2.6450000000000001E-2</v>
      </c>
      <c r="F69" s="1">
        <v>0.15160000000000001</v>
      </c>
    </row>
    <row r="70" spans="2:6" x14ac:dyDescent="0.3">
      <c r="B70" s="1">
        <v>2005</v>
      </c>
      <c r="C70" s="1">
        <v>8.9999999999999993E-3</v>
      </c>
      <c r="D70" s="1">
        <v>2.8899999999999999E-2</v>
      </c>
      <c r="E70" s="1">
        <f t="shared" si="6"/>
        <v>1.8949999999999998E-2</v>
      </c>
      <c r="F70" s="1">
        <v>0.1032</v>
      </c>
    </row>
    <row r="71" spans="2:6" x14ac:dyDescent="0.3">
      <c r="B71" s="1">
        <v>2006</v>
      </c>
      <c r="C71" s="1">
        <v>7.7999999999999996E-3</v>
      </c>
      <c r="D71" s="1">
        <v>1.6400000000000001E-2</v>
      </c>
      <c r="E71" s="1">
        <f t="shared" si="6"/>
        <v>1.21E-2</v>
      </c>
      <c r="F71" s="1">
        <v>5.28E-2</v>
      </c>
    </row>
    <row r="72" spans="2:6" x14ac:dyDescent="0.3">
      <c r="B72" s="1">
        <v>2007</v>
      </c>
      <c r="C72" s="1">
        <v>6.7999999999999996E-3</v>
      </c>
      <c r="D72" s="1">
        <v>1.0500000000000001E-2</v>
      </c>
      <c r="E72" s="1">
        <f t="shared" si="6"/>
        <v>8.6499999999999997E-3</v>
      </c>
      <c r="F72" s="1">
        <v>3.1699999999999999E-2</v>
      </c>
    </row>
    <row r="73" spans="2:6" x14ac:dyDescent="0.3">
      <c r="B73" s="1">
        <v>2008</v>
      </c>
      <c r="C73" s="1">
        <v>6.0000000000000001E-3</v>
      </c>
      <c r="D73" s="1">
        <v>7.1999999999999998E-3</v>
      </c>
      <c r="E73" s="1">
        <f t="shared" si="6"/>
        <v>6.6E-3</v>
      </c>
      <c r="F73" s="1">
        <v>2.3300000000000001E-2</v>
      </c>
    </row>
    <row r="74" spans="2:6" x14ac:dyDescent="0.3">
      <c r="B74" s="1">
        <v>2009</v>
      </c>
      <c r="C74" s="1">
        <v>5.5999999999999999E-3</v>
      </c>
      <c r="D74" s="1">
        <v>6.1999999999999998E-3</v>
      </c>
      <c r="E74" s="1">
        <f t="shared" si="6"/>
        <v>5.8999999999999999E-3</v>
      </c>
      <c r="F74" s="1">
        <v>1.9699999999999999E-2</v>
      </c>
    </row>
    <row r="75" spans="2:6" x14ac:dyDescent="0.3">
      <c r="B75" s="1">
        <v>2010</v>
      </c>
      <c r="C75" s="1">
        <v>5.4999999999999997E-3</v>
      </c>
      <c r="D75" s="1">
        <v>5.3E-3</v>
      </c>
      <c r="E75" s="1">
        <f t="shared" si="6"/>
        <v>5.4000000000000003E-3</v>
      </c>
      <c r="F75" s="1">
        <v>1.6299999999999999E-2</v>
      </c>
    </row>
    <row r="76" spans="2:6" x14ac:dyDescent="0.3">
      <c r="B76" s="1">
        <v>2011</v>
      </c>
      <c r="C76" s="1">
        <v>5.4999999999999997E-3</v>
      </c>
      <c r="D76" s="1">
        <v>4.7999999999999996E-3</v>
      </c>
      <c r="E76" s="1">
        <f t="shared" si="6"/>
        <v>5.1500000000000001E-3</v>
      </c>
      <c r="F76" s="1">
        <v>1.49E-2</v>
      </c>
    </row>
    <row r="77" spans="2:6" x14ac:dyDescent="0.3">
      <c r="B77" s="1">
        <v>2012</v>
      </c>
      <c r="C77" s="1">
        <v>4.8999999999999998E-3</v>
      </c>
      <c r="D77" s="1">
        <v>4.7000000000000002E-3</v>
      </c>
      <c r="E77" s="1">
        <f t="shared" si="6"/>
        <v>4.8000000000000004E-3</v>
      </c>
      <c r="F77" s="1">
        <v>1.49E-2</v>
      </c>
    </row>
    <row r="78" spans="2:6" x14ac:dyDescent="0.3">
      <c r="B78" s="1">
        <v>2013</v>
      </c>
      <c r="C78" s="1">
        <v>4.7999999999999996E-3</v>
      </c>
      <c r="D78" s="1">
        <v>4.5999999999999999E-3</v>
      </c>
      <c r="E78" s="1">
        <f t="shared" si="6"/>
        <v>4.6999999999999993E-3</v>
      </c>
      <c r="F78" s="1">
        <v>1.49E-2</v>
      </c>
    </row>
    <row r="79" spans="2:6" x14ac:dyDescent="0.3">
      <c r="B79" s="1">
        <v>2014</v>
      </c>
      <c r="C79" s="1">
        <v>4.7000000000000002E-3</v>
      </c>
      <c r="D79" s="1">
        <v>4.5999999999999999E-3</v>
      </c>
      <c r="E79" s="1">
        <f t="shared" si="6"/>
        <v>4.6499999999999996E-3</v>
      </c>
      <c r="F79" s="1">
        <v>1.49E-2</v>
      </c>
    </row>
    <row r="80" spans="2:6" x14ac:dyDescent="0.3">
      <c r="B80" s="1">
        <v>2015</v>
      </c>
      <c r="C80" s="1">
        <v>4.4000000000000003E-3</v>
      </c>
      <c r="D80" s="1">
        <v>4.5999999999999999E-3</v>
      </c>
      <c r="E80" s="1">
        <f t="shared" si="6"/>
        <v>4.5000000000000005E-3</v>
      </c>
      <c r="F80" s="1">
        <v>1.49E-2</v>
      </c>
    </row>
    <row r="81" spans="2:6" x14ac:dyDescent="0.3">
      <c r="B81" s="1">
        <v>2016</v>
      </c>
      <c r="C81" s="1">
        <v>4.1999999999999997E-3</v>
      </c>
      <c r="D81" s="1">
        <v>4.4999999999999997E-3</v>
      </c>
      <c r="E81" s="1">
        <f t="shared" si="6"/>
        <v>4.3499999999999997E-3</v>
      </c>
      <c r="F81" s="1">
        <v>1.49E-2</v>
      </c>
    </row>
    <row r="82" spans="2:6" x14ac:dyDescent="0.3">
      <c r="B82" s="1">
        <v>2017</v>
      </c>
      <c r="C82" s="1">
        <v>4.1999999999999997E-3</v>
      </c>
      <c r="D82" s="1">
        <v>4.4999999999999997E-3</v>
      </c>
      <c r="E82" s="1">
        <f t="shared" si="6"/>
        <v>4.3499999999999997E-3</v>
      </c>
      <c r="F82" s="1">
        <v>1.49E-2</v>
      </c>
    </row>
    <row r="83" spans="2:6" x14ac:dyDescent="0.3">
      <c r="B83" t="s">
        <v>160</v>
      </c>
    </row>
    <row r="84" spans="2:6" ht="15" thickBot="1" x14ac:dyDescent="0.35"/>
    <row r="85" spans="2:6" ht="15" thickBot="1" x14ac:dyDescent="0.35">
      <c r="B85" s="133" t="s">
        <v>164</v>
      </c>
      <c r="C85" s="715">
        <f>0.042</f>
        <v>4.2000000000000003E-2</v>
      </c>
      <c r="D85" s="134" t="s">
        <v>162</v>
      </c>
    </row>
    <row r="86" spans="2:6" x14ac:dyDescent="0.3">
      <c r="B86" t="s">
        <v>163</v>
      </c>
      <c r="C86" s="320"/>
    </row>
    <row r="87" spans="2:6" ht="15" thickBot="1" x14ac:dyDescent="0.35">
      <c r="C87" s="320"/>
    </row>
    <row r="88" spans="2:6" ht="15" thickBot="1" x14ac:dyDescent="0.35">
      <c r="B88" s="133" t="s">
        <v>166</v>
      </c>
      <c r="C88" s="715">
        <f>16.4/1000</f>
        <v>1.6399999999999998E-2</v>
      </c>
      <c r="D88" s="134" t="s">
        <v>162</v>
      </c>
    </row>
  </sheetData>
  <mergeCells count="5">
    <mergeCell ref="K18:N18"/>
    <mergeCell ref="G17:I17"/>
    <mergeCell ref="C17:D17"/>
    <mergeCell ref="E17:F17"/>
    <mergeCell ref="B30:F30"/>
  </mergeCells>
  <hyperlinks>
    <hyperlink ref="B10" r:id="rId1"/>
  </hyperlinks>
  <pageMargins left="0.7" right="0.7" top="0.75" bottom="0.75" header="0.3" footer="0.3"/>
  <pageSetup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I20"/>
  <sheetViews>
    <sheetView topLeftCell="A2" workbookViewId="0">
      <selection activeCell="B32" sqref="B31:B32"/>
    </sheetView>
  </sheetViews>
  <sheetFormatPr defaultRowHeight="14.4" x14ac:dyDescent="0.3"/>
  <cols>
    <col min="1" max="1" width="13.77734375" customWidth="1"/>
    <col min="2" max="2" width="13.44140625" customWidth="1"/>
    <col min="3" max="3" width="20.33203125" customWidth="1"/>
    <col min="4" max="4" width="10.21875" bestFit="1" customWidth="1"/>
    <col min="5" max="5" width="11.5546875" bestFit="1" customWidth="1"/>
    <col min="6" max="6" width="14.109375" style="1" customWidth="1"/>
    <col min="7" max="7" width="14" style="1" customWidth="1"/>
    <col min="8" max="8" width="12.21875" style="1" customWidth="1"/>
    <col min="9" max="9" width="12.44140625" style="1" customWidth="1"/>
  </cols>
  <sheetData>
    <row r="2" spans="2:9" ht="15" thickBot="1" x14ac:dyDescent="0.35">
      <c r="E2" s="798" t="s">
        <v>325</v>
      </c>
      <c r="F2" s="798"/>
      <c r="G2" s="798"/>
      <c r="H2" s="798"/>
      <c r="I2" s="798"/>
    </row>
    <row r="3" spans="2:9" ht="15" thickBot="1" x14ac:dyDescent="0.35">
      <c r="E3" s="267"/>
      <c r="F3" s="806" t="s">
        <v>320</v>
      </c>
      <c r="G3" s="807"/>
      <c r="H3" s="808" t="s">
        <v>319</v>
      </c>
      <c r="I3" s="809"/>
    </row>
    <row r="4" spans="2:9" ht="15" thickBot="1" x14ac:dyDescent="0.35">
      <c r="B4" s="804" t="s">
        <v>37</v>
      </c>
      <c r="C4" s="805"/>
      <c r="E4" s="207"/>
      <c r="F4" s="282" t="s">
        <v>324</v>
      </c>
      <c r="G4" s="283" t="s">
        <v>323</v>
      </c>
      <c r="H4" s="282" t="s">
        <v>324</v>
      </c>
      <c r="I4" s="284" t="s">
        <v>323</v>
      </c>
    </row>
    <row r="5" spans="2:9" x14ac:dyDescent="0.3">
      <c r="B5" s="66" t="s">
        <v>36</v>
      </c>
      <c r="C5" s="129">
        <v>0</v>
      </c>
      <c r="E5" s="207" t="s">
        <v>321</v>
      </c>
      <c r="F5" s="280"/>
      <c r="G5" s="281">
        <v>13.6</v>
      </c>
      <c r="H5" s="286"/>
      <c r="I5" s="287">
        <v>19</v>
      </c>
    </row>
    <row r="6" spans="2:9" ht="15" thickBot="1" x14ac:dyDescent="0.35">
      <c r="B6" s="66" t="s">
        <v>2</v>
      </c>
      <c r="C6" s="130">
        <v>0.5</v>
      </c>
      <c r="E6" s="207" t="s">
        <v>227</v>
      </c>
      <c r="F6" s="269"/>
      <c r="G6" s="277">
        <v>25.4</v>
      </c>
      <c r="H6" s="269"/>
      <c r="I6" s="285">
        <v>25.4</v>
      </c>
    </row>
    <row r="7" spans="2:9" ht="15" thickBot="1" x14ac:dyDescent="0.35">
      <c r="B7" s="66" t="s">
        <v>3</v>
      </c>
      <c r="C7" s="130">
        <v>1</v>
      </c>
      <c r="E7" s="268" t="s">
        <v>322</v>
      </c>
      <c r="F7" s="275"/>
      <c r="G7" s="276">
        <v>14.1</v>
      </c>
      <c r="H7" s="275"/>
      <c r="I7" s="123">
        <v>20.399999999999999</v>
      </c>
    </row>
    <row r="8" spans="2:9" ht="15" thickBot="1" x14ac:dyDescent="0.35">
      <c r="B8" s="66" t="s">
        <v>4</v>
      </c>
      <c r="C8" s="131">
        <v>1</v>
      </c>
      <c r="E8" s="209"/>
      <c r="F8" s="274" t="s">
        <v>324</v>
      </c>
      <c r="G8" s="278" t="s">
        <v>323</v>
      </c>
      <c r="H8" s="272"/>
      <c r="I8" s="273"/>
    </row>
    <row r="9" spans="2:9" ht="15" thickBot="1" x14ac:dyDescent="0.35">
      <c r="E9" s="268" t="s">
        <v>326</v>
      </c>
      <c r="F9" s="275"/>
      <c r="G9" s="288">
        <v>27.2</v>
      </c>
      <c r="H9" s="279"/>
      <c r="I9" s="266"/>
    </row>
    <row r="10" spans="2:9" x14ac:dyDescent="0.3">
      <c r="E10" t="s">
        <v>327</v>
      </c>
    </row>
    <row r="20" ht="27.6" customHeight="1" x14ac:dyDescent="0.3"/>
  </sheetData>
  <mergeCells count="4">
    <mergeCell ref="B4:C4"/>
    <mergeCell ref="E2:I2"/>
    <mergeCell ref="F3:G3"/>
    <mergeCell ref="H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J12"/>
  <sheetViews>
    <sheetView workbookViewId="0">
      <selection activeCell="D10" sqref="D10"/>
    </sheetView>
  </sheetViews>
  <sheetFormatPr defaultRowHeight="14.4" x14ac:dyDescent="0.3"/>
  <cols>
    <col min="2" max="2" width="20.5546875" customWidth="1"/>
    <col min="3" max="5" width="18.33203125" customWidth="1"/>
    <col min="6" max="6" width="5.109375" customWidth="1"/>
    <col min="7" max="10" width="19.77734375" customWidth="1"/>
  </cols>
  <sheetData>
    <row r="2" spans="2:10" ht="18" x14ac:dyDescent="0.35">
      <c r="B2" s="446" t="s">
        <v>482</v>
      </c>
      <c r="G2" s="446" t="s">
        <v>483</v>
      </c>
    </row>
    <row r="3" spans="2:10" ht="18" x14ac:dyDescent="0.35">
      <c r="B3" s="446" t="s">
        <v>484</v>
      </c>
      <c r="G3" s="446" t="s">
        <v>485</v>
      </c>
    </row>
    <row r="4" spans="2:10" ht="43.2" x14ac:dyDescent="0.3">
      <c r="B4" s="6"/>
      <c r="C4" s="9" t="s">
        <v>486</v>
      </c>
      <c r="D4" s="9" t="s">
        <v>487</v>
      </c>
      <c r="E4" s="9" t="s">
        <v>488</v>
      </c>
      <c r="G4" s="6"/>
      <c r="H4" s="9" t="s">
        <v>486</v>
      </c>
      <c r="I4" s="9" t="s">
        <v>487</v>
      </c>
      <c r="J4" s="9" t="s">
        <v>488</v>
      </c>
    </row>
    <row r="5" spans="2:10" ht="28.8" x14ac:dyDescent="0.3">
      <c r="B5" s="15" t="s">
        <v>489</v>
      </c>
      <c r="C5" s="547">
        <v>79000</v>
      </c>
      <c r="D5" s="547">
        <v>8200</v>
      </c>
      <c r="E5" s="547">
        <v>3100</v>
      </c>
      <c r="G5" s="15" t="s">
        <v>489</v>
      </c>
      <c r="H5" s="547">
        <v>69000</v>
      </c>
      <c r="I5" s="547">
        <v>7400</v>
      </c>
      <c r="J5" s="547">
        <v>3000</v>
      </c>
    </row>
    <row r="6" spans="2:10" ht="43.2" x14ac:dyDescent="0.3">
      <c r="B6" s="15" t="s">
        <v>490</v>
      </c>
      <c r="C6" s="547">
        <v>127000</v>
      </c>
      <c r="D6" s="547">
        <v>20000</v>
      </c>
      <c r="E6" s="547">
        <v>6000</v>
      </c>
      <c r="G6" s="15" t="s">
        <v>490</v>
      </c>
      <c r="H6" s="547">
        <v>102000</v>
      </c>
      <c r="I6" s="547">
        <v>9100</v>
      </c>
      <c r="J6" s="547">
        <v>5500</v>
      </c>
    </row>
    <row r="7" spans="2:10" x14ac:dyDescent="0.3">
      <c r="B7" s="15" t="s">
        <v>491</v>
      </c>
      <c r="C7" s="548">
        <v>0.17</v>
      </c>
      <c r="D7" s="548">
        <v>0.03</v>
      </c>
      <c r="E7" s="548">
        <v>0.3</v>
      </c>
      <c r="G7" s="15" t="s">
        <v>491</v>
      </c>
      <c r="H7" s="548">
        <v>0.17</v>
      </c>
      <c r="I7" s="548">
        <v>0.03</v>
      </c>
      <c r="J7" s="548">
        <v>0.3</v>
      </c>
    </row>
    <row r="8" spans="2:10" ht="43.2" x14ac:dyDescent="0.3">
      <c r="B8" s="15" t="s">
        <v>492</v>
      </c>
      <c r="C8" s="9" t="s">
        <v>493</v>
      </c>
      <c r="D8" s="9" t="s">
        <v>494</v>
      </c>
      <c r="E8" s="9" t="s">
        <v>495</v>
      </c>
      <c r="G8" s="15" t="s">
        <v>492</v>
      </c>
      <c r="H8" s="9" t="s">
        <v>493</v>
      </c>
      <c r="I8" s="9" t="s">
        <v>494</v>
      </c>
      <c r="J8" s="9" t="s">
        <v>495</v>
      </c>
    </row>
    <row r="9" spans="2:10" x14ac:dyDescent="0.3">
      <c r="B9" s="15" t="s">
        <v>496</v>
      </c>
      <c r="C9" s="545">
        <v>6</v>
      </c>
      <c r="D9" s="545">
        <v>48</v>
      </c>
      <c r="E9" s="545">
        <v>46</v>
      </c>
      <c r="G9" s="15" t="s">
        <v>496</v>
      </c>
      <c r="H9" s="545">
        <v>6</v>
      </c>
      <c r="I9" s="545">
        <v>48</v>
      </c>
      <c r="J9" s="545">
        <v>46</v>
      </c>
    </row>
    <row r="10" spans="2:10" ht="28.8" x14ac:dyDescent="0.3">
      <c r="B10" s="15" t="s">
        <v>497</v>
      </c>
      <c r="C10" s="9" t="s">
        <v>498</v>
      </c>
      <c r="D10" s="9" t="s">
        <v>499</v>
      </c>
      <c r="E10" s="9" t="s">
        <v>500</v>
      </c>
      <c r="G10" s="15" t="s">
        <v>497</v>
      </c>
      <c r="H10" s="9" t="s">
        <v>498</v>
      </c>
      <c r="I10" s="9" t="s">
        <v>499</v>
      </c>
      <c r="J10" s="9" t="s">
        <v>500</v>
      </c>
    </row>
    <row r="12" spans="2:10" x14ac:dyDescent="0.3">
      <c r="B12" s="549" t="s">
        <v>501</v>
      </c>
      <c r="C12" s="550"/>
      <c r="D12" s="550"/>
      <c r="E12" s="550"/>
      <c r="F12" s="550"/>
      <c r="G12" s="550"/>
      <c r="H12" s="550"/>
      <c r="I12" s="550"/>
      <c r="J12" s="55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36"/>
  <sheetViews>
    <sheetView zoomScale="90" zoomScaleNormal="90" workbookViewId="0">
      <pane xSplit="2" ySplit="3" topLeftCell="C4" activePane="bottomRight" state="frozen"/>
      <selection pane="topRight" activeCell="C1" sqref="C1"/>
      <selection pane="bottomLeft" activeCell="A4" sqref="A4"/>
      <selection pane="bottomRight" activeCell="H35" sqref="H35"/>
    </sheetView>
  </sheetViews>
  <sheetFormatPr defaultRowHeight="14.4" x14ac:dyDescent="0.3"/>
  <cols>
    <col min="1" max="1" width="8.88671875" style="214"/>
    <col min="2" max="2" width="28.5546875" style="214" customWidth="1"/>
    <col min="3" max="6" width="15.5546875" style="67" customWidth="1"/>
    <col min="7" max="16384" width="8.88671875" style="214"/>
  </cols>
  <sheetData>
    <row r="2" spans="2:6" ht="18.600000000000001" thickBot="1" x14ac:dyDescent="0.4">
      <c r="B2" s="242" t="s">
        <v>312</v>
      </c>
      <c r="C2" s="243"/>
      <c r="D2" s="243"/>
      <c r="E2" s="243"/>
      <c r="F2" s="243"/>
    </row>
    <row r="3" spans="2:6" ht="15" thickBot="1" x14ac:dyDescent="0.35">
      <c r="B3" s="358"/>
      <c r="C3" s="356" t="s">
        <v>383</v>
      </c>
      <c r="D3" s="379" t="s">
        <v>384</v>
      </c>
      <c r="E3" s="379" t="s">
        <v>264</v>
      </c>
      <c r="F3" s="357" t="s">
        <v>265</v>
      </c>
    </row>
    <row r="4" spans="2:6" x14ac:dyDescent="0.3">
      <c r="B4" s="359" t="s">
        <v>259</v>
      </c>
      <c r="C4" s="313" t="e">
        <f>#REF!</f>
        <v>#REF!</v>
      </c>
      <c r="D4" s="346" t="e">
        <f>#REF!</f>
        <v>#REF!</v>
      </c>
      <c r="E4" s="346" t="e">
        <f>#REF!</f>
        <v>#REF!</v>
      </c>
      <c r="F4" s="351" t="e">
        <f>#REF!</f>
        <v>#REF!</v>
      </c>
    </row>
    <row r="5" spans="2:6" x14ac:dyDescent="0.3">
      <c r="B5" s="359" t="s">
        <v>385</v>
      </c>
      <c r="C5" s="313" t="e">
        <f>#REF!</f>
        <v>#REF!</v>
      </c>
      <c r="D5" s="346" t="e">
        <f>#REF!</f>
        <v>#REF!</v>
      </c>
      <c r="E5" s="346" t="e">
        <f>#REF!</f>
        <v>#REF!</v>
      </c>
      <c r="F5" s="351" t="e">
        <f>#REF!</f>
        <v>#REF!</v>
      </c>
    </row>
    <row r="6" spans="2:6" x14ac:dyDescent="0.3">
      <c r="B6" s="360" t="s">
        <v>260</v>
      </c>
      <c r="C6" s="311" t="e">
        <f>#REF!</f>
        <v>#REF!</v>
      </c>
      <c r="D6" s="347" t="e">
        <f>#REF!</f>
        <v>#REF!</v>
      </c>
      <c r="E6" s="347" t="e">
        <f>#REF!</f>
        <v>#REF!</v>
      </c>
      <c r="F6" s="352" t="e">
        <f>#REF!</f>
        <v>#REF!</v>
      </c>
    </row>
    <row r="7" spans="2:6" x14ac:dyDescent="0.3">
      <c r="B7" s="359" t="s">
        <v>386</v>
      </c>
      <c r="C7" s="313" t="e">
        <f>#REF!</f>
        <v>#REF!</v>
      </c>
      <c r="D7" s="346" t="e">
        <f>#REF!</f>
        <v>#REF!</v>
      </c>
      <c r="E7" s="346" t="e">
        <f>#REF!</f>
        <v>#REF!</v>
      </c>
      <c r="F7" s="351" t="e">
        <f>#REF!</f>
        <v>#REF!</v>
      </c>
    </row>
    <row r="8" spans="2:6" x14ac:dyDescent="0.3">
      <c r="B8" s="360" t="s">
        <v>258</v>
      </c>
      <c r="C8" s="311" t="e">
        <f>SUM(C4:C6)</f>
        <v>#REF!</v>
      </c>
      <c r="D8" s="347" t="e">
        <f>SUM(D4:D6)</f>
        <v>#REF!</v>
      </c>
      <c r="E8" s="347" t="e">
        <f t="shared" ref="E8:F8" si="0">SUM(E4:E6)</f>
        <v>#REF!</v>
      </c>
      <c r="F8" s="352" t="e">
        <f t="shared" si="0"/>
        <v>#REF!</v>
      </c>
    </row>
    <row r="9" spans="2:6" x14ac:dyDescent="0.3">
      <c r="B9" s="375" t="s">
        <v>266</v>
      </c>
      <c r="C9" s="245" t="e">
        <f>#REF!</f>
        <v>#REF!</v>
      </c>
      <c r="D9" s="348" t="e">
        <f>#REF!</f>
        <v>#REF!</v>
      </c>
      <c r="E9" s="348" t="e">
        <f>#REF!</f>
        <v>#REF!</v>
      </c>
      <c r="F9" s="376" t="e">
        <f>#REF!</f>
        <v>#REF!</v>
      </c>
    </row>
    <row r="10" spans="2:6" x14ac:dyDescent="0.3">
      <c r="B10" s="361" t="s">
        <v>387</v>
      </c>
      <c r="C10" s="246" t="e">
        <f>#REF!</f>
        <v>#REF!</v>
      </c>
      <c r="D10" s="349" t="e">
        <f>#REF!</f>
        <v>#REF!</v>
      </c>
      <c r="E10" s="349" t="e">
        <f>#REF!</f>
        <v>#REF!</v>
      </c>
      <c r="F10" s="353" t="e">
        <f>#REF!</f>
        <v>#REF!</v>
      </c>
    </row>
    <row r="11" spans="2:6" x14ac:dyDescent="0.3">
      <c r="B11" s="362" t="s">
        <v>267</v>
      </c>
      <c r="C11" s="310" t="e">
        <f>#REF!</f>
        <v>#REF!</v>
      </c>
      <c r="D11" s="350" t="e">
        <f>#REF!</f>
        <v>#REF!</v>
      </c>
      <c r="E11" s="350" t="e">
        <f>#REF!</f>
        <v>#REF!</v>
      </c>
      <c r="F11" s="354" t="e">
        <f>#REF!</f>
        <v>#REF!</v>
      </c>
    </row>
    <row r="12" spans="2:6" x14ac:dyDescent="0.3">
      <c r="B12" s="361" t="s">
        <v>267</v>
      </c>
      <c r="C12" s="246" t="e">
        <f>#REF!</f>
        <v>#REF!</v>
      </c>
      <c r="D12" s="349" t="e">
        <f>#REF!</f>
        <v>#REF!</v>
      </c>
      <c r="E12" s="349" t="e">
        <f>#REF!</f>
        <v>#REF!</v>
      </c>
      <c r="F12" s="353" t="e">
        <f>#REF!</f>
        <v>#REF!</v>
      </c>
    </row>
    <row r="13" spans="2:6" x14ac:dyDescent="0.3">
      <c r="B13" s="362" t="s">
        <v>268</v>
      </c>
      <c r="C13" s="310" t="e">
        <f>SUM(C9:C11)</f>
        <v>#REF!</v>
      </c>
      <c r="D13" s="350" t="e">
        <f>SUM(D9:D11)</f>
        <v>#REF!</v>
      </c>
      <c r="E13" s="350" t="e">
        <f t="shared" ref="E13" si="1">SUM(E9:E11)</f>
        <v>#REF!</v>
      </c>
      <c r="F13" s="354" t="e">
        <f t="shared" ref="F13" si="2">SUM(F9:F11)</f>
        <v>#REF!</v>
      </c>
    </row>
    <row r="14" spans="2:6" x14ac:dyDescent="0.3">
      <c r="B14" s="377" t="s">
        <v>351</v>
      </c>
      <c r="C14" s="312" t="e">
        <f>C9/C4</f>
        <v>#REF!</v>
      </c>
      <c r="D14" s="345" t="e">
        <f t="shared" ref="D14:F14" si="3">D9/D4</f>
        <v>#REF!</v>
      </c>
      <c r="E14" s="345" t="e">
        <f t="shared" si="3"/>
        <v>#REF!</v>
      </c>
      <c r="F14" s="378" t="e">
        <f t="shared" si="3"/>
        <v>#REF!</v>
      </c>
    </row>
    <row r="15" spans="2:6" x14ac:dyDescent="0.3">
      <c r="B15" s="359" t="s">
        <v>390</v>
      </c>
      <c r="C15" s="313" t="e">
        <f t="shared" ref="C15:F15" si="4">C10/C5</f>
        <v>#REF!</v>
      </c>
      <c r="D15" s="346" t="e">
        <f t="shared" si="4"/>
        <v>#REF!</v>
      </c>
      <c r="E15" s="346" t="e">
        <f t="shared" si="4"/>
        <v>#REF!</v>
      </c>
      <c r="F15" s="351" t="e">
        <f t="shared" si="4"/>
        <v>#REF!</v>
      </c>
    </row>
    <row r="16" spans="2:6" x14ac:dyDescent="0.3">
      <c r="B16" s="359" t="s">
        <v>352</v>
      </c>
      <c r="C16" s="311" t="e">
        <f t="shared" ref="C16:F16" si="5">C11/C6</f>
        <v>#REF!</v>
      </c>
      <c r="D16" s="347" t="e">
        <f t="shared" si="5"/>
        <v>#REF!</v>
      </c>
      <c r="E16" s="347" t="e">
        <f t="shared" si="5"/>
        <v>#REF!</v>
      </c>
      <c r="F16" s="352" t="e">
        <f t="shared" si="5"/>
        <v>#REF!</v>
      </c>
    </row>
    <row r="17" spans="2:6" x14ac:dyDescent="0.3">
      <c r="B17" s="359" t="s">
        <v>391</v>
      </c>
      <c r="C17" s="313" t="e">
        <f t="shared" ref="C17:F17" si="6">C12/C7</f>
        <v>#REF!</v>
      </c>
      <c r="D17" s="346" t="e">
        <f t="shared" si="6"/>
        <v>#REF!</v>
      </c>
      <c r="E17" s="346" t="e">
        <f t="shared" si="6"/>
        <v>#REF!</v>
      </c>
      <c r="F17" s="351" t="e">
        <f t="shared" si="6"/>
        <v>#REF!</v>
      </c>
    </row>
    <row r="18" spans="2:6" x14ac:dyDescent="0.3">
      <c r="B18" s="359" t="s">
        <v>353</v>
      </c>
      <c r="C18" s="313" t="e">
        <f t="shared" ref="C18:F18" si="7">C13/C8</f>
        <v>#REF!</v>
      </c>
      <c r="D18" s="346" t="e">
        <f t="shared" si="7"/>
        <v>#REF!</v>
      </c>
      <c r="E18" s="346" t="e">
        <f t="shared" si="7"/>
        <v>#REF!</v>
      </c>
      <c r="F18" s="351" t="e">
        <f t="shared" si="7"/>
        <v>#REF!</v>
      </c>
    </row>
    <row r="19" spans="2:6" x14ac:dyDescent="0.3">
      <c r="B19" s="375" t="s">
        <v>261</v>
      </c>
      <c r="C19" s="245" t="e">
        <f>#REF!</f>
        <v>#REF!</v>
      </c>
      <c r="D19" s="348" t="e">
        <f>#REF!</f>
        <v>#REF!</v>
      </c>
      <c r="E19" s="348" t="e">
        <f>#REF!</f>
        <v>#REF!</v>
      </c>
      <c r="F19" s="376" t="e">
        <f>#REF!</f>
        <v>#REF!</v>
      </c>
    </row>
    <row r="20" spans="2:6" x14ac:dyDescent="0.3">
      <c r="B20" s="361" t="s">
        <v>388</v>
      </c>
      <c r="C20" s="246" t="e">
        <f>#REF!</f>
        <v>#REF!</v>
      </c>
      <c r="D20" s="349" t="e">
        <f>#REF!</f>
        <v>#REF!</v>
      </c>
      <c r="E20" s="349" t="e">
        <f>#REF!</f>
        <v>#REF!</v>
      </c>
      <c r="F20" s="353" t="e">
        <f>#REF!</f>
        <v>#REF!</v>
      </c>
    </row>
    <row r="21" spans="2:6" x14ac:dyDescent="0.3">
      <c r="B21" s="361" t="s">
        <v>262</v>
      </c>
      <c r="C21" s="246" t="e">
        <f>#REF!</f>
        <v>#REF!</v>
      </c>
      <c r="D21" s="349" t="e">
        <f>#REF!</f>
        <v>#REF!</v>
      </c>
      <c r="E21" s="349" t="e">
        <f>#REF!</f>
        <v>#REF!</v>
      </c>
      <c r="F21" s="353" t="e">
        <f>#REF!</f>
        <v>#REF!</v>
      </c>
    </row>
    <row r="22" spans="2:6" x14ac:dyDescent="0.3">
      <c r="B22" s="361" t="s">
        <v>389</v>
      </c>
      <c r="C22" s="246" t="e">
        <f>#REF!</f>
        <v>#REF!</v>
      </c>
      <c r="D22" s="349" t="e">
        <f>#REF!</f>
        <v>#REF!</v>
      </c>
      <c r="E22" s="349" t="e">
        <f>#REF!</f>
        <v>#REF!</v>
      </c>
      <c r="F22" s="353" t="e">
        <f>#REF!</f>
        <v>#REF!</v>
      </c>
    </row>
    <row r="23" spans="2:6" x14ac:dyDescent="0.3">
      <c r="B23" s="362" t="s">
        <v>263</v>
      </c>
      <c r="C23" s="310" t="e">
        <f>SUM(C19:C21)</f>
        <v>#REF!</v>
      </c>
      <c r="D23" s="350" t="e">
        <f>SUM(D19:D21)</f>
        <v>#REF!</v>
      </c>
      <c r="E23" s="350" t="e">
        <f t="shared" ref="E23" si="8">SUM(E19:E21)</f>
        <v>#REF!</v>
      </c>
      <c r="F23" s="354" t="e">
        <f t="shared" ref="F23" si="9">SUM(F19:F21)</f>
        <v>#REF!</v>
      </c>
    </row>
    <row r="24" spans="2:6" ht="6.6" customHeight="1" x14ac:dyDescent="0.3">
      <c r="B24" s="373"/>
      <c r="C24" s="247"/>
      <c r="D24" s="369"/>
      <c r="E24" s="369"/>
      <c r="F24" s="367"/>
    </row>
    <row r="25" spans="2:6" x14ac:dyDescent="0.3">
      <c r="B25" s="363" t="s">
        <v>271</v>
      </c>
      <c r="C25" s="244" t="e">
        <f>C8-C23</f>
        <v>#REF!</v>
      </c>
      <c r="D25" s="364" t="e">
        <f>D8-D23</f>
        <v>#REF!</v>
      </c>
      <c r="E25" s="364" t="e">
        <f t="shared" ref="E25:F25" si="10">E8-E23</f>
        <v>#REF!</v>
      </c>
      <c r="F25" s="355" t="e">
        <f t="shared" si="10"/>
        <v>#REF!</v>
      </c>
    </row>
    <row r="26" spans="2:6" x14ac:dyDescent="0.3">
      <c r="B26" s="363" t="s">
        <v>273</v>
      </c>
      <c r="C26" s="244" t="e">
        <f>C25*60</f>
        <v>#REF!</v>
      </c>
      <c r="D26" s="364" t="e">
        <f>D25*60</f>
        <v>#REF!</v>
      </c>
      <c r="E26" s="364" t="e">
        <f t="shared" ref="E26:F26" si="11">E25*60</f>
        <v>#REF!</v>
      </c>
      <c r="F26" s="355" t="e">
        <f t="shared" si="11"/>
        <v>#REF!</v>
      </c>
    </row>
    <row r="27" spans="2:6" x14ac:dyDescent="0.3">
      <c r="B27" s="363" t="s">
        <v>306</v>
      </c>
      <c r="C27" s="244" t="e">
        <f>C13/C25</f>
        <v>#REF!</v>
      </c>
      <c r="D27" s="364" t="e">
        <f>D13/D25</f>
        <v>#REF!</v>
      </c>
      <c r="E27" s="364" t="e">
        <f t="shared" ref="E27:F27" si="12">E13/E25</f>
        <v>#REF!</v>
      </c>
      <c r="F27" s="355" t="e">
        <f t="shared" si="12"/>
        <v>#REF!</v>
      </c>
    </row>
    <row r="28" spans="2:6" x14ac:dyDescent="0.3">
      <c r="B28" s="360" t="s">
        <v>272</v>
      </c>
      <c r="C28" s="365" t="e">
        <f>C26/C13</f>
        <v>#REF!</v>
      </c>
      <c r="D28" s="370" t="e">
        <f>D26/D13</f>
        <v>#REF!</v>
      </c>
      <c r="E28" s="370" t="e">
        <f>E26/E13</f>
        <v>#REF!</v>
      </c>
      <c r="F28" s="368" t="e">
        <f>F26/F13</f>
        <v>#REF!</v>
      </c>
    </row>
    <row r="29" spans="2:6" ht="6.6" customHeight="1" x14ac:dyDescent="0.3">
      <c r="B29" s="373"/>
      <c r="C29" s="247"/>
      <c r="D29" s="369"/>
      <c r="E29" s="369"/>
      <c r="F29" s="367"/>
    </row>
    <row r="30" spans="2:6" x14ac:dyDescent="0.3">
      <c r="B30" s="361" t="s">
        <v>269</v>
      </c>
      <c r="C30" s="246" t="e">
        <f>C6</f>
        <v>#REF!</v>
      </c>
      <c r="D30" s="349" t="e">
        <f t="shared" ref="D30:F30" si="13">D6</f>
        <v>#REF!</v>
      </c>
      <c r="E30" s="246" t="e">
        <f t="shared" si="13"/>
        <v>#REF!</v>
      </c>
      <c r="F30" s="349" t="e">
        <f t="shared" si="13"/>
        <v>#REF!</v>
      </c>
    </row>
    <row r="31" spans="2:6" x14ac:dyDescent="0.3">
      <c r="B31" s="361" t="s">
        <v>274</v>
      </c>
      <c r="C31" s="246" t="e">
        <f>C30*60</f>
        <v>#REF!</v>
      </c>
      <c r="D31" s="349" t="e">
        <f>D30*60</f>
        <v>#REF!</v>
      </c>
      <c r="E31" s="246" t="e">
        <f t="shared" ref="E31:F31" si="14">E30*60</f>
        <v>#REF!</v>
      </c>
      <c r="F31" s="349" t="e">
        <f t="shared" si="14"/>
        <v>#REF!</v>
      </c>
    </row>
    <row r="32" spans="2:6" x14ac:dyDescent="0.3">
      <c r="B32" s="361" t="s">
        <v>270</v>
      </c>
      <c r="C32" s="246" t="e">
        <f>C11</f>
        <v>#REF!</v>
      </c>
      <c r="D32" s="349" t="e">
        <f t="shared" ref="D32:F32" si="15">D11</f>
        <v>#REF!</v>
      </c>
      <c r="E32" s="246" t="e">
        <f t="shared" si="15"/>
        <v>#REF!</v>
      </c>
      <c r="F32" s="349" t="e">
        <f t="shared" si="15"/>
        <v>#REF!</v>
      </c>
    </row>
    <row r="33" spans="2:6" x14ac:dyDescent="0.3">
      <c r="B33" s="361" t="s">
        <v>307</v>
      </c>
      <c r="C33" s="246" t="e">
        <f>C32/C30</f>
        <v>#REF!</v>
      </c>
      <c r="D33" s="349" t="e">
        <f>D32/D30</f>
        <v>#REF!</v>
      </c>
      <c r="E33" s="246" t="e">
        <f t="shared" ref="E33:F33" si="16">E32/E30</f>
        <v>#REF!</v>
      </c>
      <c r="F33" s="349" t="e">
        <f t="shared" si="16"/>
        <v>#REF!</v>
      </c>
    </row>
    <row r="34" spans="2:6" x14ac:dyDescent="0.3">
      <c r="B34" s="362" t="s">
        <v>275</v>
      </c>
      <c r="C34" s="366" t="e">
        <f>C31/C32</f>
        <v>#REF!</v>
      </c>
      <c r="D34" s="371" t="e">
        <f>D31/D32</f>
        <v>#REF!</v>
      </c>
      <c r="E34" s="366" t="e">
        <f t="shared" ref="E34:F34" si="17">E31/E32</f>
        <v>#REF!</v>
      </c>
      <c r="F34" s="371" t="e">
        <f t="shared" si="17"/>
        <v>#REF!</v>
      </c>
    </row>
    <row r="35" spans="2:6" ht="6.6" customHeight="1" thickBot="1" x14ac:dyDescent="0.35">
      <c r="B35" s="373"/>
      <c r="C35" s="247"/>
      <c r="D35" s="369"/>
      <c r="E35" s="369"/>
      <c r="F35" s="367"/>
    </row>
    <row r="36" spans="2:6" ht="15" thickBot="1" x14ac:dyDescent="0.35">
      <c r="B36" s="374" t="s">
        <v>276</v>
      </c>
      <c r="C36" s="343" t="e">
        <f>C34/C28</f>
        <v>#REF!</v>
      </c>
      <c r="D36" s="372" t="e">
        <f>D34/D28</f>
        <v>#REF!</v>
      </c>
      <c r="E36" s="372" t="e">
        <f>E34/E28</f>
        <v>#REF!</v>
      </c>
      <c r="F36" s="344" t="e">
        <f t="shared" ref="F36" si="18">F34/F28</f>
        <v>#REF!</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T31"/>
  <sheetViews>
    <sheetView zoomScale="80" zoomScaleNormal="80" workbookViewId="0">
      <pane xSplit="3" ySplit="5" topLeftCell="H6" activePane="bottomRight" state="frozen"/>
      <selection pane="topRight" activeCell="D1" sqref="D1"/>
      <selection pane="bottomLeft" activeCell="A6" sqref="A6"/>
      <selection pane="bottomRight" activeCell="U25" sqref="U25"/>
    </sheetView>
  </sheetViews>
  <sheetFormatPr defaultRowHeight="14.4" x14ac:dyDescent="0.3"/>
  <cols>
    <col min="2" max="2" width="15.21875" customWidth="1"/>
    <col min="3" max="3" width="16.77734375" bestFit="1" customWidth="1"/>
    <col min="4" max="4" width="14" customWidth="1"/>
    <col min="5" max="6" width="12.33203125" customWidth="1"/>
    <col min="7" max="7" width="13.77734375" bestFit="1" customWidth="1"/>
    <col min="8" max="13" width="12.33203125" customWidth="1"/>
    <col min="14" max="14" width="15.77734375" customWidth="1"/>
    <col min="15" max="17" width="12.33203125" customWidth="1"/>
    <col min="18" max="18" width="16.109375" customWidth="1"/>
    <col min="19" max="20" width="12.33203125" customWidth="1"/>
  </cols>
  <sheetData>
    <row r="2" spans="2:20" ht="18" customHeight="1" x14ac:dyDescent="0.35">
      <c r="B2" s="810" t="s">
        <v>397</v>
      </c>
      <c r="C2" s="810"/>
      <c r="D2" s="810"/>
      <c r="E2" s="190"/>
      <c r="F2" s="190"/>
      <c r="G2" s="190"/>
      <c r="H2" s="190"/>
      <c r="I2" s="190"/>
      <c r="J2" s="190"/>
      <c r="K2" s="190"/>
      <c r="L2" s="190"/>
      <c r="M2" s="190"/>
      <c r="N2" s="190"/>
      <c r="O2" s="190"/>
      <c r="P2" s="190"/>
      <c r="Q2" s="190"/>
      <c r="R2" s="190"/>
      <c r="S2" s="190"/>
    </row>
    <row r="3" spans="2:20" x14ac:dyDescent="0.3">
      <c r="B3" s="791" t="s">
        <v>396</v>
      </c>
      <c r="C3" s="791"/>
      <c r="D3" s="190"/>
      <c r="E3" s="190"/>
      <c r="F3" s="190"/>
      <c r="G3" s="190"/>
      <c r="H3" s="190"/>
      <c r="I3" s="190"/>
      <c r="J3" s="190"/>
      <c r="K3" s="190"/>
      <c r="L3" s="190"/>
      <c r="M3" s="190"/>
      <c r="N3" s="190"/>
      <c r="O3" s="190"/>
      <c r="P3" s="190"/>
      <c r="Q3" s="190"/>
      <c r="R3" s="190"/>
      <c r="S3" s="190"/>
    </row>
    <row r="4" spans="2:20" ht="37.200000000000003" customHeight="1" x14ac:dyDescent="0.3">
      <c r="B4" s="814" t="s">
        <v>234</v>
      </c>
      <c r="C4" s="814"/>
      <c r="D4" s="811" t="s">
        <v>236</v>
      </c>
      <c r="E4" s="812"/>
      <c r="F4" s="813"/>
      <c r="G4" s="811" t="s">
        <v>252</v>
      </c>
      <c r="H4" s="812"/>
      <c r="I4" s="812"/>
      <c r="J4" s="812"/>
      <c r="K4" s="812"/>
      <c r="L4" s="812"/>
      <c r="M4" s="812"/>
      <c r="N4" s="813"/>
      <c r="O4" s="811" t="s">
        <v>253</v>
      </c>
      <c r="P4" s="812"/>
      <c r="Q4" s="813"/>
      <c r="R4" s="811" t="s">
        <v>254</v>
      </c>
      <c r="S4" s="813"/>
    </row>
    <row r="5" spans="2:20" s="4" customFormat="1" ht="72" x14ac:dyDescent="0.3">
      <c r="B5" s="189" t="s">
        <v>229</v>
      </c>
      <c r="C5" s="189" t="s">
        <v>32</v>
      </c>
      <c r="D5" s="424" t="s">
        <v>313</v>
      </c>
      <c r="E5" s="425" t="s">
        <v>314</v>
      </c>
      <c r="F5" s="426" t="s">
        <v>315</v>
      </c>
      <c r="G5" s="424" t="s">
        <v>244</v>
      </c>
      <c r="H5" s="425" t="s">
        <v>238</v>
      </c>
      <c r="I5" s="427" t="s">
        <v>239</v>
      </c>
      <c r="J5" s="425" t="s">
        <v>240</v>
      </c>
      <c r="K5" s="427" t="s">
        <v>241</v>
      </c>
      <c r="L5" s="425" t="s">
        <v>242</v>
      </c>
      <c r="M5" s="427" t="s">
        <v>277</v>
      </c>
      <c r="N5" s="428" t="s">
        <v>246</v>
      </c>
      <c r="O5" s="424" t="s">
        <v>398</v>
      </c>
      <c r="P5" s="425" t="s">
        <v>245</v>
      </c>
      <c r="Q5" s="429" t="s">
        <v>247</v>
      </c>
      <c r="R5" s="430" t="s">
        <v>248</v>
      </c>
      <c r="S5" s="431" t="s">
        <v>251</v>
      </c>
    </row>
    <row r="6" spans="2:20" s="4" customFormat="1" x14ac:dyDescent="0.3">
      <c r="B6" s="432">
        <v>1</v>
      </c>
      <c r="C6" s="432">
        <v>2016</v>
      </c>
      <c r="D6" s="439">
        <v>0</v>
      </c>
      <c r="E6" s="175">
        <v>0</v>
      </c>
      <c r="F6" s="440">
        <v>0</v>
      </c>
      <c r="G6" s="436">
        <v>0</v>
      </c>
      <c r="H6" s="437">
        <v>0</v>
      </c>
      <c r="I6" s="437">
        <v>0</v>
      </c>
      <c r="J6" s="437">
        <v>0</v>
      </c>
      <c r="K6" s="437">
        <v>0</v>
      </c>
      <c r="L6" s="437">
        <v>0</v>
      </c>
      <c r="M6" s="437">
        <v>0</v>
      </c>
      <c r="N6" s="433">
        <f t="shared" ref="N6:N30" si="0">SUM(G6:M6)</f>
        <v>0</v>
      </c>
      <c r="O6" s="436">
        <v>0</v>
      </c>
      <c r="P6" s="437">
        <v>0</v>
      </c>
      <c r="Q6" s="433">
        <f>O6+P6</f>
        <v>0</v>
      </c>
      <c r="R6" s="434">
        <f>N6-Q6</f>
        <v>0</v>
      </c>
      <c r="S6" s="438"/>
    </row>
    <row r="7" spans="2:20" x14ac:dyDescent="0.3">
      <c r="B7" s="185">
        <v>1</v>
      </c>
      <c r="C7" s="188">
        <v>2017</v>
      </c>
      <c r="D7" s="412">
        <v>0</v>
      </c>
      <c r="E7" s="413">
        <v>0</v>
      </c>
      <c r="F7" s="414">
        <v>0</v>
      </c>
      <c r="G7" s="408">
        <v>0</v>
      </c>
      <c r="H7" s="409">
        <v>0</v>
      </c>
      <c r="I7" s="409">
        <v>0</v>
      </c>
      <c r="J7" s="409">
        <v>0</v>
      </c>
      <c r="K7" s="409">
        <v>0</v>
      </c>
      <c r="L7" s="409">
        <v>0</v>
      </c>
      <c r="M7" s="409">
        <v>0</v>
      </c>
      <c r="N7" s="433">
        <f t="shared" si="0"/>
        <v>0</v>
      </c>
      <c r="O7" s="408">
        <f>Pivot!D21</f>
        <v>0</v>
      </c>
      <c r="P7" s="409">
        <f>Pivot!D22</f>
        <v>0</v>
      </c>
      <c r="Q7" s="433">
        <f>O7+P7</f>
        <v>0</v>
      </c>
      <c r="R7" s="434">
        <f>N7-Q7</f>
        <v>0</v>
      </c>
      <c r="S7" s="410"/>
      <c r="T7" s="67"/>
    </row>
    <row r="8" spans="2:20" x14ac:dyDescent="0.3">
      <c r="B8" s="185">
        <v>2</v>
      </c>
      <c r="C8" s="188">
        <v>2018</v>
      </c>
      <c r="D8" s="412">
        <v>0</v>
      </c>
      <c r="E8" s="413">
        <v>0</v>
      </c>
      <c r="F8" s="414">
        <v>0</v>
      </c>
      <c r="G8" s="408">
        <v>0</v>
      </c>
      <c r="H8" s="409">
        <v>0</v>
      </c>
      <c r="I8" s="409">
        <v>0</v>
      </c>
      <c r="J8" s="409">
        <v>0</v>
      </c>
      <c r="K8" s="409">
        <v>0</v>
      </c>
      <c r="L8" s="409">
        <v>0</v>
      </c>
      <c r="M8" s="409">
        <v>0</v>
      </c>
      <c r="N8" s="433">
        <f t="shared" si="0"/>
        <v>0</v>
      </c>
      <c r="O8" s="408">
        <f>Pivot!E21</f>
        <v>55567178</v>
      </c>
      <c r="P8" s="409">
        <f>Pivot!E22</f>
        <v>0</v>
      </c>
      <c r="Q8" s="433">
        <f t="shared" ref="Q8:Q30" si="1">O8+P8</f>
        <v>55567178</v>
      </c>
      <c r="R8" s="434">
        <f t="shared" ref="R8:R30" si="2">N8-Q8</f>
        <v>-55567178</v>
      </c>
      <c r="S8" s="410"/>
      <c r="T8" s="67"/>
    </row>
    <row r="9" spans="2:20" x14ac:dyDescent="0.3">
      <c r="B9" s="185">
        <v>3</v>
      </c>
      <c r="C9" s="188">
        <v>2019</v>
      </c>
      <c r="D9" s="412">
        <v>0</v>
      </c>
      <c r="E9" s="413">
        <v>0</v>
      </c>
      <c r="F9" s="414">
        <v>0</v>
      </c>
      <c r="G9" s="408">
        <v>0</v>
      </c>
      <c r="H9" s="409">
        <v>0</v>
      </c>
      <c r="I9" s="409">
        <v>0</v>
      </c>
      <c r="J9" s="409">
        <v>0</v>
      </c>
      <c r="K9" s="409">
        <v>0</v>
      </c>
      <c r="L9" s="409">
        <v>0</v>
      </c>
      <c r="M9" s="409">
        <v>0</v>
      </c>
      <c r="N9" s="433">
        <f t="shared" si="0"/>
        <v>0</v>
      </c>
      <c r="O9" s="408">
        <f>Pivot!F21</f>
        <v>55567178</v>
      </c>
      <c r="P9" s="409">
        <f>Pivot!F22</f>
        <v>0</v>
      </c>
      <c r="Q9" s="433">
        <f t="shared" si="1"/>
        <v>55567178</v>
      </c>
      <c r="R9" s="434">
        <f t="shared" si="2"/>
        <v>-55567178</v>
      </c>
      <c r="S9" s="410"/>
      <c r="T9" s="67"/>
    </row>
    <row r="10" spans="2:20" x14ac:dyDescent="0.3">
      <c r="B10" s="185">
        <v>4</v>
      </c>
      <c r="C10" s="188">
        <v>2020</v>
      </c>
      <c r="D10" s="412">
        <f>Pivot!G8</f>
        <v>-1045223.799566653</v>
      </c>
      <c r="E10" s="413">
        <f>Pivot!G9</f>
        <v>-66573.509225108777</v>
      </c>
      <c r="F10" s="414">
        <f>Pivot!G10</f>
        <v>-47957.196241775295</v>
      </c>
      <c r="G10" s="408">
        <f>Pivot!G12</f>
        <v>1592927.6234304525</v>
      </c>
      <c r="H10" s="409">
        <f>Pivot!G13</f>
        <v>1913767.7476894269</v>
      </c>
      <c r="I10" s="409">
        <f>Pivot!G14</f>
        <v>258716.84530886746</v>
      </c>
      <c r="J10" s="409">
        <f>Pivot!G15</f>
        <v>154268.2516669879</v>
      </c>
      <c r="K10" s="409">
        <f>Pivot!G16</f>
        <v>191517.90243644468</v>
      </c>
      <c r="L10" s="409">
        <f>Pivot!G17</f>
        <v>0</v>
      </c>
      <c r="M10" s="409">
        <f>Pivot!G18</f>
        <v>216372.15329875107</v>
      </c>
      <c r="N10" s="433">
        <f t="shared" si="0"/>
        <v>4327570.5238309298</v>
      </c>
      <c r="O10" s="408">
        <f>Pivot!G21</f>
        <v>0</v>
      </c>
      <c r="P10" s="409">
        <f>Pivot!G22</f>
        <v>37588.582562475662</v>
      </c>
      <c r="Q10" s="433">
        <f t="shared" si="1"/>
        <v>37588.582562475662</v>
      </c>
      <c r="R10" s="434">
        <f t="shared" si="2"/>
        <v>4289981.9412684543</v>
      </c>
      <c r="S10" s="410"/>
      <c r="T10" s="67"/>
    </row>
    <row r="11" spans="2:20" x14ac:dyDescent="0.3">
      <c r="B11" s="185">
        <v>5</v>
      </c>
      <c r="C11" s="188">
        <v>2021</v>
      </c>
      <c r="D11" s="412">
        <f>Pivot!H8</f>
        <v>-992962.60958832037</v>
      </c>
      <c r="E11" s="413">
        <f>Pivot!H9</f>
        <v>-70436.184075119643</v>
      </c>
      <c r="F11" s="414">
        <f>Pivot!H10</f>
        <v>-52750.686740952835</v>
      </c>
      <c r="G11" s="408">
        <f>Pivot!H12</f>
        <v>1699874.3315167772</v>
      </c>
      <c r="H11" s="409">
        <f>Pivot!H13</f>
        <v>300162.55883200781</v>
      </c>
      <c r="I11" s="409">
        <f>Pivot!H14</f>
        <v>245781.00304342405</v>
      </c>
      <c r="J11" s="409">
        <f>Pivot!H15</f>
        <v>146554.83908363848</v>
      </c>
      <c r="K11" s="409">
        <f>Pivot!H16</f>
        <v>181942.00731462246</v>
      </c>
      <c r="L11" s="409">
        <f>Pivot!H17</f>
        <v>0</v>
      </c>
      <c r="M11" s="409">
        <f>Pivot!H18</f>
        <v>205553.54563381354</v>
      </c>
      <c r="N11" s="433">
        <f t="shared" si="0"/>
        <v>2779868.2854242832</v>
      </c>
      <c r="O11" s="408">
        <f>Pivot!H21</f>
        <v>0</v>
      </c>
      <c r="P11" s="409">
        <f>Pivot!H22</f>
        <v>37588.582562475662</v>
      </c>
      <c r="Q11" s="433">
        <f t="shared" si="1"/>
        <v>37588.582562475662</v>
      </c>
      <c r="R11" s="434">
        <f t="shared" si="2"/>
        <v>2742279.7028618078</v>
      </c>
      <c r="S11" s="410"/>
      <c r="T11" s="67"/>
    </row>
    <row r="12" spans="2:20" x14ac:dyDescent="0.3">
      <c r="B12" s="185">
        <v>6</v>
      </c>
      <c r="C12" s="188">
        <v>2022</v>
      </c>
      <c r="D12" s="412">
        <f>Pivot!I8</f>
        <v>-940701.41960998776</v>
      </c>
      <c r="E12" s="413">
        <f>Pivot!I9</f>
        <v>-74298.858925130495</v>
      </c>
      <c r="F12" s="414">
        <f>Pivot!I10</f>
        <v>-57544.177240130361</v>
      </c>
      <c r="G12" s="408">
        <f>Pivot!I12</f>
        <v>1806821.039603102</v>
      </c>
      <c r="H12" s="409">
        <f>Pivot!I13</f>
        <v>284364.52941979689</v>
      </c>
      <c r="I12" s="409">
        <f>Pivot!I14</f>
        <v>232845.16077798069</v>
      </c>
      <c r="J12" s="409">
        <f>Pivot!I15</f>
        <v>138841.42650028909</v>
      </c>
      <c r="K12" s="409">
        <f>Pivot!I16</f>
        <v>173286.16811554902</v>
      </c>
      <c r="L12" s="409">
        <f>Pivot!I17</f>
        <v>0</v>
      </c>
      <c r="M12" s="409">
        <f>Pivot!I18</f>
        <v>194734.93796887595</v>
      </c>
      <c r="N12" s="433">
        <f t="shared" si="0"/>
        <v>2830893.2623855942</v>
      </c>
      <c r="O12" s="408">
        <f>Pivot!I21</f>
        <v>0</v>
      </c>
      <c r="P12" s="409">
        <f>Pivot!I22</f>
        <v>37588.582562475662</v>
      </c>
      <c r="Q12" s="433">
        <f t="shared" si="1"/>
        <v>37588.582562475662</v>
      </c>
      <c r="R12" s="434">
        <f t="shared" si="2"/>
        <v>2793304.6798231187</v>
      </c>
      <c r="S12" s="410"/>
      <c r="T12" s="67"/>
    </row>
    <row r="13" spans="2:20" x14ac:dyDescent="0.3">
      <c r="B13" s="185">
        <v>7</v>
      </c>
      <c r="C13" s="188">
        <v>2023</v>
      </c>
      <c r="D13" s="412">
        <f>Pivot!J8</f>
        <v>-888440.22963165515</v>
      </c>
      <c r="E13" s="413">
        <f>Pivot!J9</f>
        <v>-78161.533775141346</v>
      </c>
      <c r="F13" s="414">
        <f>Pivot!J10</f>
        <v>-62337.667739307901</v>
      </c>
      <c r="G13" s="408">
        <f>Pivot!J12</f>
        <v>1913767.7476894269</v>
      </c>
      <c r="H13" s="409">
        <f>Pivot!J13</f>
        <v>268566.50000758597</v>
      </c>
      <c r="I13" s="409">
        <f>Pivot!J14</f>
        <v>219909.31851253731</v>
      </c>
      <c r="J13" s="409">
        <f>Pivot!J15</f>
        <v>131128.0139169397</v>
      </c>
      <c r="K13" s="409">
        <f>Pivot!J16</f>
        <v>165397.04218543292</v>
      </c>
      <c r="L13" s="409">
        <f>Pivot!J17</f>
        <v>0</v>
      </c>
      <c r="M13" s="409">
        <f>Pivot!J18</f>
        <v>183916.33030393839</v>
      </c>
      <c r="N13" s="433">
        <f t="shared" si="0"/>
        <v>2882684.9526158613</v>
      </c>
      <c r="O13" s="408">
        <f>Pivot!J21</f>
        <v>0</v>
      </c>
      <c r="P13" s="409">
        <f>Pivot!J22</f>
        <v>37588.582562475662</v>
      </c>
      <c r="Q13" s="433">
        <f t="shared" si="1"/>
        <v>37588.582562475662</v>
      </c>
      <c r="R13" s="434">
        <f t="shared" si="2"/>
        <v>2845096.3700533859</v>
      </c>
      <c r="S13" s="410"/>
      <c r="T13" s="67"/>
    </row>
    <row r="14" spans="2:20" x14ac:dyDescent="0.3">
      <c r="B14" s="185">
        <v>8</v>
      </c>
      <c r="C14" s="188">
        <v>2024</v>
      </c>
      <c r="D14" s="412">
        <f>Pivot!K8</f>
        <v>-836179.03965332243</v>
      </c>
      <c r="E14" s="413">
        <f>Pivot!K9</f>
        <v>-82024.208625152212</v>
      </c>
      <c r="F14" s="414">
        <f>Pivot!K10</f>
        <v>-67131.158238485426</v>
      </c>
      <c r="G14" s="408">
        <f>Pivot!K12</f>
        <v>2020714.4557757517</v>
      </c>
      <c r="H14" s="409">
        <f>Pivot!K13</f>
        <v>252768.47059537502</v>
      </c>
      <c r="I14" s="409">
        <f>Pivot!K14</f>
        <v>206973.47624709393</v>
      </c>
      <c r="J14" s="409">
        <f>Pivot!K15</f>
        <v>123414.60133359031</v>
      </c>
      <c r="K14" s="409">
        <f>Pivot!K16</f>
        <v>156485.63189670705</v>
      </c>
      <c r="L14" s="409">
        <f>Pivot!K17</f>
        <v>0</v>
      </c>
      <c r="M14" s="409">
        <f>Pivot!K18</f>
        <v>173097.72263900086</v>
      </c>
      <c r="N14" s="433">
        <f t="shared" si="0"/>
        <v>2933454.3584875194</v>
      </c>
      <c r="O14" s="408">
        <f>Pivot!K21</f>
        <v>0</v>
      </c>
      <c r="P14" s="409">
        <f>Pivot!K22</f>
        <v>37588.582562475662</v>
      </c>
      <c r="Q14" s="433">
        <f t="shared" si="1"/>
        <v>37588.582562475662</v>
      </c>
      <c r="R14" s="434">
        <f t="shared" si="2"/>
        <v>2895865.775925044</v>
      </c>
      <c r="S14" s="410"/>
      <c r="T14" s="67"/>
    </row>
    <row r="15" spans="2:20" x14ac:dyDescent="0.3">
      <c r="B15" s="185">
        <v>9</v>
      </c>
      <c r="C15" s="188">
        <v>2025</v>
      </c>
      <c r="D15" s="412">
        <f>Pivot!L8</f>
        <v>-783917.84967498982</v>
      </c>
      <c r="E15" s="413">
        <f>Pivot!L9</f>
        <v>-85886.883475163049</v>
      </c>
      <c r="F15" s="414">
        <f>Pivot!L10</f>
        <v>-71924.648737662967</v>
      </c>
      <c r="G15" s="408">
        <f>Pivot!L12</f>
        <v>2127661.1638620766</v>
      </c>
      <c r="H15" s="409">
        <f>Pivot!L13</f>
        <v>236970.44118316408</v>
      </c>
      <c r="I15" s="409">
        <f>Pivot!L14</f>
        <v>194037.63398165058</v>
      </c>
      <c r="J15" s="409">
        <f>Pivot!L15</f>
        <v>115701.18875024092</v>
      </c>
      <c r="K15" s="409">
        <f>Pivot!L16</f>
        <v>147471.99317212022</v>
      </c>
      <c r="L15" s="409">
        <f>Pivot!L17</f>
        <v>0</v>
      </c>
      <c r="M15" s="409">
        <f>Pivot!L18</f>
        <v>162279.11497406327</v>
      </c>
      <c r="N15" s="433">
        <f t="shared" si="0"/>
        <v>2984121.5359233161</v>
      </c>
      <c r="O15" s="408">
        <f>Pivot!L21</f>
        <v>0</v>
      </c>
      <c r="P15" s="409">
        <f>Pivot!L22</f>
        <v>37588.582562475662</v>
      </c>
      <c r="Q15" s="433">
        <f t="shared" si="1"/>
        <v>37588.582562475662</v>
      </c>
      <c r="R15" s="434">
        <f t="shared" si="2"/>
        <v>2946532.9533608407</v>
      </c>
      <c r="S15" s="410"/>
      <c r="T15" s="67"/>
    </row>
    <row r="16" spans="2:20" x14ac:dyDescent="0.3">
      <c r="B16" s="185">
        <v>10</v>
      </c>
      <c r="C16" s="188">
        <v>2026</v>
      </c>
      <c r="D16" s="412">
        <f>Pivot!M8</f>
        <v>-731656.65969665721</v>
      </c>
      <c r="E16" s="413">
        <f>Pivot!M9</f>
        <v>-89749.558325173915</v>
      </c>
      <c r="F16" s="414">
        <f>Pivot!M10</f>
        <v>-76718.139236840507</v>
      </c>
      <c r="G16" s="408">
        <f>Pivot!M12</f>
        <v>2234607.8719484014</v>
      </c>
      <c r="H16" s="409">
        <f>Pivot!M13</f>
        <v>221172.41177095316</v>
      </c>
      <c r="I16" s="409">
        <f>Pivot!M14</f>
        <v>181101.79171620723</v>
      </c>
      <c r="J16" s="409">
        <f>Pivot!M15</f>
        <v>107987.77616689153</v>
      </c>
      <c r="K16" s="409">
        <f>Pivot!M16</f>
        <v>138356.12601167237</v>
      </c>
      <c r="L16" s="409">
        <f>Pivot!M17</f>
        <v>0</v>
      </c>
      <c r="M16" s="409">
        <f>Pivot!M18</f>
        <v>151460.50730912577</v>
      </c>
      <c r="N16" s="433">
        <f t="shared" si="0"/>
        <v>3034686.4849232519</v>
      </c>
      <c r="O16" s="408">
        <f>Pivot!M21</f>
        <v>0</v>
      </c>
      <c r="P16" s="409">
        <f>Pivot!M22</f>
        <v>37588.582562475662</v>
      </c>
      <c r="Q16" s="433">
        <f t="shared" si="1"/>
        <v>37588.582562475662</v>
      </c>
      <c r="R16" s="434">
        <f t="shared" si="2"/>
        <v>2997097.9023607764</v>
      </c>
      <c r="S16" s="410"/>
      <c r="T16" s="67"/>
    </row>
    <row r="17" spans="2:20" x14ac:dyDescent="0.3">
      <c r="B17" s="185">
        <v>11</v>
      </c>
      <c r="C17" s="188">
        <v>2027</v>
      </c>
      <c r="D17" s="412">
        <f>Pivot!N8</f>
        <v>-679395.4697183246</v>
      </c>
      <c r="E17" s="413">
        <f>Pivot!N9</f>
        <v>-93612.233175184781</v>
      </c>
      <c r="F17" s="414">
        <f>Pivot!N10</f>
        <v>-81511.629736018032</v>
      </c>
      <c r="G17" s="408">
        <f>Pivot!N12</f>
        <v>2341554.5800347258</v>
      </c>
      <c r="H17" s="409">
        <f>Pivot!N13</f>
        <v>205374.38235874221</v>
      </c>
      <c r="I17" s="409">
        <f>Pivot!N14</f>
        <v>168165.94945076382</v>
      </c>
      <c r="J17" s="409">
        <f>Pivot!N15</f>
        <v>100274.36358354213</v>
      </c>
      <c r="K17" s="409">
        <f>Pivot!N16</f>
        <v>129138.03041536357</v>
      </c>
      <c r="L17" s="409">
        <f>Pivot!N17</f>
        <v>0</v>
      </c>
      <c r="M17" s="409">
        <f>Pivot!N18</f>
        <v>140641.89964418818</v>
      </c>
      <c r="N17" s="433">
        <f t="shared" si="0"/>
        <v>3085149.2054873258</v>
      </c>
      <c r="O17" s="408">
        <f>Pivot!N21</f>
        <v>0</v>
      </c>
      <c r="P17" s="409">
        <f>Pivot!N22</f>
        <v>37588.582562475662</v>
      </c>
      <c r="Q17" s="433">
        <f t="shared" si="1"/>
        <v>37588.582562475662</v>
      </c>
      <c r="R17" s="434">
        <f t="shared" si="2"/>
        <v>3047560.6229248503</v>
      </c>
      <c r="S17" s="410"/>
      <c r="T17" s="67"/>
    </row>
    <row r="18" spans="2:20" x14ac:dyDescent="0.3">
      <c r="B18" s="185">
        <v>12</v>
      </c>
      <c r="C18" s="188">
        <v>2028</v>
      </c>
      <c r="D18" s="412">
        <f>Pivot!O8</f>
        <v>-627134.27973999199</v>
      </c>
      <c r="E18" s="413">
        <f>Pivot!O9</f>
        <v>-97474.908025195618</v>
      </c>
      <c r="F18" s="414">
        <f>Pivot!O10</f>
        <v>-86305.120235195558</v>
      </c>
      <c r="G18" s="408">
        <f>Pivot!O12</f>
        <v>2448501.2881210507</v>
      </c>
      <c r="H18" s="409">
        <f>Pivot!O13</f>
        <v>189576.35294653129</v>
      </c>
      <c r="I18" s="409">
        <f>Pivot!O14</f>
        <v>155230.10718532046</v>
      </c>
      <c r="J18" s="409">
        <f>Pivot!O15</f>
        <v>92560.951000192741</v>
      </c>
      <c r="K18" s="409">
        <f>Pivot!O16</f>
        <v>119817.70638319376</v>
      </c>
      <c r="L18" s="409">
        <f>Pivot!O17</f>
        <v>0</v>
      </c>
      <c r="M18" s="409">
        <f>Pivot!O18</f>
        <v>129823.29197925064</v>
      </c>
      <c r="N18" s="433">
        <f t="shared" si="0"/>
        <v>3135509.6976155397</v>
      </c>
      <c r="O18" s="408">
        <f>Pivot!O21</f>
        <v>0</v>
      </c>
      <c r="P18" s="409">
        <f>Pivot!O22</f>
        <v>37588.582562475662</v>
      </c>
      <c r="Q18" s="433">
        <f t="shared" si="1"/>
        <v>37588.582562475662</v>
      </c>
      <c r="R18" s="434">
        <f t="shared" si="2"/>
        <v>3097921.1150530642</v>
      </c>
      <c r="S18" s="410"/>
      <c r="T18" s="67"/>
    </row>
    <row r="19" spans="2:20" x14ac:dyDescent="0.3">
      <c r="B19" s="185">
        <v>13</v>
      </c>
      <c r="C19" s="188">
        <v>2029</v>
      </c>
      <c r="D19" s="412">
        <f>Pivot!P8</f>
        <v>-574873.08976165927</v>
      </c>
      <c r="E19" s="413">
        <f>Pivot!P9</f>
        <v>-101337.58287520648</v>
      </c>
      <c r="F19" s="414">
        <f>Pivot!P10</f>
        <v>-91098.610734373098</v>
      </c>
      <c r="G19" s="408">
        <f>Pivot!P12</f>
        <v>2555447.9962073755</v>
      </c>
      <c r="H19" s="409">
        <f>Pivot!P13</f>
        <v>173778.32353432034</v>
      </c>
      <c r="I19" s="409">
        <f>Pivot!P14</f>
        <v>142294.26491987711</v>
      </c>
      <c r="J19" s="409">
        <f>Pivot!P15</f>
        <v>84847.538416843337</v>
      </c>
      <c r="K19" s="409">
        <f>Pivot!P16</f>
        <v>109832.89751792763</v>
      </c>
      <c r="L19" s="409">
        <f>Pivot!P17</f>
        <v>0</v>
      </c>
      <c r="M19" s="409">
        <f>Pivot!P18</f>
        <v>119004.6843143131</v>
      </c>
      <c r="N19" s="433">
        <f t="shared" si="0"/>
        <v>3185205.7049106569</v>
      </c>
      <c r="O19" s="408">
        <f>Pivot!P21</f>
        <v>0</v>
      </c>
      <c r="P19" s="409">
        <f>Pivot!P22</f>
        <v>37588.582562475662</v>
      </c>
      <c r="Q19" s="433">
        <f t="shared" si="1"/>
        <v>37588.582562475662</v>
      </c>
      <c r="R19" s="434">
        <f t="shared" si="2"/>
        <v>3147617.1223481814</v>
      </c>
      <c r="S19" s="410"/>
      <c r="T19" s="67"/>
    </row>
    <row r="20" spans="2:20" x14ac:dyDescent="0.3">
      <c r="B20" s="185">
        <v>14</v>
      </c>
      <c r="C20" s="188">
        <v>2030</v>
      </c>
      <c r="D20" s="412">
        <f>Pivot!Q8</f>
        <v>-522611.8997833266</v>
      </c>
      <c r="E20" s="413">
        <f>Pivot!Q9</f>
        <v>-105200.25772521735</v>
      </c>
      <c r="F20" s="414">
        <f>Pivot!Q10</f>
        <v>-95892.101233550638</v>
      </c>
      <c r="G20" s="408">
        <f>Pivot!Q12</f>
        <v>2662394.7042936999</v>
      </c>
      <c r="H20" s="409">
        <f>Pivot!Q13</f>
        <v>157980.29412210942</v>
      </c>
      <c r="I20" s="409">
        <f>Pivot!Q14</f>
        <v>129358.42265443373</v>
      </c>
      <c r="J20" s="409">
        <f>Pivot!Q15</f>
        <v>77134.125833493963</v>
      </c>
      <c r="K20" s="409">
        <f>Pivot!Q16</f>
        <v>100359.23083196637</v>
      </c>
      <c r="L20" s="409">
        <f>Pivot!Q17</f>
        <v>0</v>
      </c>
      <c r="M20" s="409">
        <f>Pivot!Q18</f>
        <v>108186.07664937554</v>
      </c>
      <c r="N20" s="433">
        <f t="shared" si="0"/>
        <v>3235412.8543850789</v>
      </c>
      <c r="O20" s="408">
        <f>Pivot!Q21</f>
        <v>0</v>
      </c>
      <c r="P20" s="409">
        <f>Pivot!Q22</f>
        <v>37588.582562475662</v>
      </c>
      <c r="Q20" s="433">
        <f t="shared" si="1"/>
        <v>37588.582562475662</v>
      </c>
      <c r="R20" s="434">
        <f t="shared" si="2"/>
        <v>3197824.2718226034</v>
      </c>
      <c r="S20" s="410"/>
      <c r="T20" s="67"/>
    </row>
    <row r="21" spans="2:20" x14ac:dyDescent="0.3">
      <c r="B21" s="185">
        <v>15</v>
      </c>
      <c r="C21" s="188">
        <v>2031</v>
      </c>
      <c r="D21" s="412">
        <f>Pivot!R8</f>
        <v>-470350.70980499388</v>
      </c>
      <c r="E21" s="413">
        <f>Pivot!R9</f>
        <v>-109062.93257522819</v>
      </c>
      <c r="F21" s="414">
        <f>Pivot!R10</f>
        <v>-100685.59173272816</v>
      </c>
      <c r="G21" s="408">
        <f>Pivot!R12</f>
        <v>2769341.4123800248</v>
      </c>
      <c r="H21" s="409">
        <f>Pivot!R13</f>
        <v>142182.26470989847</v>
      </c>
      <c r="I21" s="409">
        <f>Pivot!R14</f>
        <v>116422.58038899035</v>
      </c>
      <c r="J21" s="409">
        <f>Pivot!R15</f>
        <v>69420.713250144559</v>
      </c>
      <c r="K21" s="409">
        <f>Pivot!R16</f>
        <v>91243.363671518542</v>
      </c>
      <c r="L21" s="409">
        <f>Pivot!R17</f>
        <v>0</v>
      </c>
      <c r="M21" s="409">
        <f>Pivot!R18</f>
        <v>97367.46898443799</v>
      </c>
      <c r="N21" s="433">
        <f t="shared" si="0"/>
        <v>3285977.8033850142</v>
      </c>
      <c r="O21" s="408">
        <f>Pivot!R21</f>
        <v>0</v>
      </c>
      <c r="P21" s="409">
        <f>Pivot!R22</f>
        <v>37588.582562475662</v>
      </c>
      <c r="Q21" s="433">
        <f t="shared" si="1"/>
        <v>37588.582562475662</v>
      </c>
      <c r="R21" s="434">
        <f t="shared" si="2"/>
        <v>3248389.2208225387</v>
      </c>
      <c r="S21" s="410"/>
      <c r="T21" s="67"/>
    </row>
    <row r="22" spans="2:20" x14ac:dyDescent="0.3">
      <c r="B22" s="185">
        <v>16</v>
      </c>
      <c r="C22" s="188">
        <v>2032</v>
      </c>
      <c r="D22" s="412">
        <f>Pivot!S8</f>
        <v>-418089.51982666121</v>
      </c>
      <c r="E22" s="413">
        <f>Pivot!S9</f>
        <v>-112925.60742523905</v>
      </c>
      <c r="F22" s="414">
        <f>Pivot!S10</f>
        <v>-105479.08223190569</v>
      </c>
      <c r="G22" s="408">
        <f>Pivot!S12</f>
        <v>2876288.1204663496</v>
      </c>
      <c r="H22" s="409">
        <f>Pivot!S13</f>
        <v>126384.23529768751</v>
      </c>
      <c r="I22" s="409">
        <f>Pivot!S14</f>
        <v>103486.73812354699</v>
      </c>
      <c r="J22" s="409">
        <f>Pivot!S15</f>
        <v>61707.30066679517</v>
      </c>
      <c r="K22" s="409">
        <f>Pivot!S16</f>
        <v>81514.125895904843</v>
      </c>
      <c r="L22" s="409">
        <f>Pivot!S17</f>
        <v>0</v>
      </c>
      <c r="M22" s="409">
        <f>Pivot!S18</f>
        <v>86548.861319500444</v>
      </c>
      <c r="N22" s="433">
        <f t="shared" si="0"/>
        <v>3335929.3817697843</v>
      </c>
      <c r="O22" s="408">
        <f>Pivot!S21</f>
        <v>0</v>
      </c>
      <c r="P22" s="409">
        <f>Pivot!S22</f>
        <v>37588.582562475662</v>
      </c>
      <c r="Q22" s="433">
        <f t="shared" si="1"/>
        <v>37588.582562475662</v>
      </c>
      <c r="R22" s="434">
        <f t="shared" si="2"/>
        <v>3298340.7992073088</v>
      </c>
      <c r="S22" s="410"/>
      <c r="T22" s="67"/>
    </row>
    <row r="23" spans="2:20" x14ac:dyDescent="0.3">
      <c r="B23" s="185">
        <v>17</v>
      </c>
      <c r="C23" s="188">
        <v>2033</v>
      </c>
      <c r="D23" s="412">
        <f>Pivot!T8</f>
        <v>-365828.32984832855</v>
      </c>
      <c r="E23" s="413">
        <f>Pivot!T9</f>
        <v>-116788.28227524992</v>
      </c>
      <c r="F23" s="414">
        <f>Pivot!T10</f>
        <v>-110272.57273108322</v>
      </c>
      <c r="G23" s="408">
        <f>Pivot!T12</f>
        <v>2983234.8285526745</v>
      </c>
      <c r="H23" s="409">
        <f>Pivot!T13</f>
        <v>110586.20588547658</v>
      </c>
      <c r="I23" s="409">
        <f>Pivot!T14</f>
        <v>90550.895858103613</v>
      </c>
      <c r="J23" s="409">
        <f>Pivot!T15</f>
        <v>53993.888083445774</v>
      </c>
      <c r="K23" s="409">
        <f>Pivot!T16</f>
        <v>71682.659684430153</v>
      </c>
      <c r="L23" s="409">
        <f>Pivot!T17</f>
        <v>0</v>
      </c>
      <c r="M23" s="409">
        <f>Pivot!T18</f>
        <v>75730.253654562883</v>
      </c>
      <c r="N23" s="433">
        <f t="shared" si="0"/>
        <v>3385778.7317186934</v>
      </c>
      <c r="O23" s="408">
        <f>Pivot!T21</f>
        <v>0</v>
      </c>
      <c r="P23" s="409">
        <f>Pivot!T22</f>
        <v>37588.582562475662</v>
      </c>
      <c r="Q23" s="433">
        <f t="shared" si="1"/>
        <v>37588.582562475662</v>
      </c>
      <c r="R23" s="434">
        <f t="shared" si="2"/>
        <v>3348190.1491562179</v>
      </c>
      <c r="S23" s="410"/>
      <c r="T23" s="67"/>
    </row>
    <row r="24" spans="2:20" x14ac:dyDescent="0.3">
      <c r="B24" s="185">
        <v>18</v>
      </c>
      <c r="C24" s="188">
        <v>2034</v>
      </c>
      <c r="D24" s="412">
        <f>Pivot!U8</f>
        <v>-313567.13986999582</v>
      </c>
      <c r="E24" s="413">
        <f>Pivot!U9</f>
        <v>-120650.95712526079</v>
      </c>
      <c r="F24" s="414">
        <f>Pivot!U10</f>
        <v>-115066.06323026074</v>
      </c>
      <c r="G24" s="408">
        <f>Pivot!U12</f>
        <v>3090181.5366389989</v>
      </c>
      <c r="H24" s="409">
        <f>Pivot!U13</f>
        <v>94788.176473265645</v>
      </c>
      <c r="I24" s="409">
        <f>Pivot!U14</f>
        <v>77615.053592660246</v>
      </c>
      <c r="J24" s="409">
        <f>Pivot!U15</f>
        <v>46280.475500096371</v>
      </c>
      <c r="K24" s="409">
        <f>Pivot!U16</f>
        <v>61748.965037094487</v>
      </c>
      <c r="L24" s="409">
        <f>Pivot!U17</f>
        <v>0</v>
      </c>
      <c r="M24" s="409">
        <f>Pivot!U18</f>
        <v>64911.645989625329</v>
      </c>
      <c r="N24" s="433">
        <f t="shared" si="0"/>
        <v>3435525.8532317411</v>
      </c>
      <c r="O24" s="408">
        <f>Pivot!U21</f>
        <v>0</v>
      </c>
      <c r="P24" s="409">
        <f>Pivot!U22</f>
        <v>37588.582562475662</v>
      </c>
      <c r="Q24" s="433">
        <f t="shared" si="1"/>
        <v>37588.582562475662</v>
      </c>
      <c r="R24" s="434">
        <f t="shared" si="2"/>
        <v>3397937.2706692657</v>
      </c>
      <c r="S24" s="410"/>
      <c r="T24" s="67"/>
    </row>
    <row r="25" spans="2:20" x14ac:dyDescent="0.3">
      <c r="B25" s="185">
        <v>19</v>
      </c>
      <c r="C25" s="188">
        <v>2035</v>
      </c>
      <c r="D25" s="412">
        <f>Pivot!V8</f>
        <v>-261305.94989166319</v>
      </c>
      <c r="E25" s="413">
        <f>Pivot!V9</f>
        <v>-124513.63197527162</v>
      </c>
      <c r="F25" s="414">
        <f>Pivot!V10</f>
        <v>-119859.55372943827</v>
      </c>
      <c r="G25" s="408">
        <f>Pivot!V12</f>
        <v>3197128.2447253242</v>
      </c>
      <c r="H25" s="409">
        <f>Pivot!V13</f>
        <v>78990.147061054697</v>
      </c>
      <c r="I25" s="409">
        <f>Pivot!V14</f>
        <v>64679.21132721685</v>
      </c>
      <c r="J25" s="409">
        <f>Pivot!V15</f>
        <v>38567.062916746974</v>
      </c>
      <c r="K25" s="409">
        <f>Pivot!V16</f>
        <v>51713.041953897853</v>
      </c>
      <c r="L25" s="409">
        <f>Pivot!V17</f>
        <v>0</v>
      </c>
      <c r="M25" s="409">
        <f>Pivot!V18</f>
        <v>54093.038324687761</v>
      </c>
      <c r="N25" s="433">
        <f t="shared" si="0"/>
        <v>3485170.7463089284</v>
      </c>
      <c r="O25" s="408">
        <f>Pivot!V21</f>
        <v>0</v>
      </c>
      <c r="P25" s="409">
        <f>Pivot!V22</f>
        <v>37588.582562475662</v>
      </c>
      <c r="Q25" s="433">
        <f t="shared" si="1"/>
        <v>37588.582562475662</v>
      </c>
      <c r="R25" s="434">
        <f t="shared" si="2"/>
        <v>3447582.1637464529</v>
      </c>
      <c r="S25" s="410"/>
      <c r="T25" s="67"/>
    </row>
    <row r="26" spans="2:20" x14ac:dyDescent="0.3">
      <c r="B26" s="185">
        <v>20</v>
      </c>
      <c r="C26" s="188">
        <v>2036</v>
      </c>
      <c r="D26" s="412">
        <f>Pivot!W8</f>
        <v>-209044.75991333052</v>
      </c>
      <c r="E26" s="413">
        <f>Pivot!W9</f>
        <v>-128376.30682528249</v>
      </c>
      <c r="F26" s="414">
        <f>Pivot!W10</f>
        <v>-124653.04422861579</v>
      </c>
      <c r="G26" s="408">
        <f>Pivot!W12</f>
        <v>3304074.9528116491</v>
      </c>
      <c r="H26" s="409">
        <f>Pivot!W13</f>
        <v>63192.117648843749</v>
      </c>
      <c r="I26" s="409">
        <f>Pivot!W14</f>
        <v>51743.369061773483</v>
      </c>
      <c r="J26" s="409">
        <f>Pivot!W15</f>
        <v>30853.650333397571</v>
      </c>
      <c r="K26" s="409">
        <f>Pivot!W16</f>
        <v>41574.890434840236</v>
      </c>
      <c r="L26" s="409">
        <f>Pivot!W17</f>
        <v>0</v>
      </c>
      <c r="M26" s="409">
        <f>Pivot!W18</f>
        <v>43274.430659750215</v>
      </c>
      <c r="N26" s="433">
        <f t="shared" si="0"/>
        <v>3534713.4109502542</v>
      </c>
      <c r="O26" s="408">
        <f>Pivot!W21</f>
        <v>0</v>
      </c>
      <c r="P26" s="409">
        <f>Pivot!W22</f>
        <v>37588.582562475662</v>
      </c>
      <c r="Q26" s="433">
        <f t="shared" si="1"/>
        <v>37588.582562475662</v>
      </c>
      <c r="R26" s="434">
        <f t="shared" si="2"/>
        <v>3497124.8283877787</v>
      </c>
      <c r="S26" s="410"/>
      <c r="T26" s="67"/>
    </row>
    <row r="27" spans="2:20" x14ac:dyDescent="0.3">
      <c r="B27" s="185">
        <v>21</v>
      </c>
      <c r="C27" s="188">
        <v>2037</v>
      </c>
      <c r="D27" s="412">
        <f>Pivot!X8</f>
        <v>-156783.56993499785</v>
      </c>
      <c r="E27" s="413">
        <f>Pivot!X9</f>
        <v>-132238.98167529335</v>
      </c>
      <c r="F27" s="414">
        <f>Pivot!X10</f>
        <v>-129446.53472779333</v>
      </c>
      <c r="G27" s="408">
        <f>Pivot!X12</f>
        <v>3411021.6608979735</v>
      </c>
      <c r="H27" s="409">
        <f>Pivot!X13</f>
        <v>47394.088236632808</v>
      </c>
      <c r="I27" s="409">
        <f>Pivot!X14</f>
        <v>38807.526796330101</v>
      </c>
      <c r="J27" s="409">
        <f>Pivot!X15</f>
        <v>23140.237750048178</v>
      </c>
      <c r="K27" s="409">
        <f>Pivot!X16</f>
        <v>31334.510479921635</v>
      </c>
      <c r="L27" s="409">
        <f>Pivot!X17</f>
        <v>0</v>
      </c>
      <c r="M27" s="409">
        <f>Pivot!X18</f>
        <v>32455.822994812654</v>
      </c>
      <c r="N27" s="433">
        <f t="shared" si="0"/>
        <v>3584153.8471557191</v>
      </c>
      <c r="O27" s="408">
        <f>Pivot!X21</f>
        <v>0</v>
      </c>
      <c r="P27" s="409">
        <f>Pivot!X22</f>
        <v>37588.582562475662</v>
      </c>
      <c r="Q27" s="433">
        <f t="shared" si="1"/>
        <v>37588.582562475662</v>
      </c>
      <c r="R27" s="434">
        <f t="shared" si="2"/>
        <v>3546565.2645932436</v>
      </c>
      <c r="S27" s="410"/>
      <c r="T27" s="67"/>
    </row>
    <row r="28" spans="2:20" x14ac:dyDescent="0.3">
      <c r="B28" s="185">
        <v>22</v>
      </c>
      <c r="C28" s="188">
        <v>2038</v>
      </c>
      <c r="D28" s="412">
        <f>Pivot!Y8</f>
        <v>-104522.3799566652</v>
      </c>
      <c r="E28" s="413">
        <f>Pivot!Y9</f>
        <v>-136101.65652530422</v>
      </c>
      <c r="F28" s="414">
        <f>Pivot!Y10</f>
        <v>-134240.02522697087</v>
      </c>
      <c r="G28" s="408">
        <f>Pivot!Y12</f>
        <v>3517968.3689842983</v>
      </c>
      <c r="H28" s="409">
        <f>Pivot!Y13</f>
        <v>31596.058824421856</v>
      </c>
      <c r="I28" s="409">
        <f>Pivot!Y14</f>
        <v>25871.684530886727</v>
      </c>
      <c r="J28" s="409">
        <f>Pivot!Y15</f>
        <v>15426.825166698784</v>
      </c>
      <c r="K28" s="409">
        <f>Pivot!Y16</f>
        <v>20991.902089142066</v>
      </c>
      <c r="L28" s="409">
        <f>Pivot!Y17</f>
        <v>0</v>
      </c>
      <c r="M28" s="409">
        <f>Pivot!Y18</f>
        <v>21637.215329875093</v>
      </c>
      <c r="N28" s="433">
        <f t="shared" si="0"/>
        <v>3633492.0549253235</v>
      </c>
      <c r="O28" s="408">
        <f>Pivot!Y21</f>
        <v>0</v>
      </c>
      <c r="P28" s="409">
        <f>Pivot!Y22</f>
        <v>37588.582562475662</v>
      </c>
      <c r="Q28" s="433">
        <f t="shared" si="1"/>
        <v>37588.582562475662</v>
      </c>
      <c r="R28" s="434">
        <f t="shared" si="2"/>
        <v>3595903.472362848</v>
      </c>
      <c r="S28" s="410"/>
      <c r="T28" s="67"/>
    </row>
    <row r="29" spans="2:20" x14ac:dyDescent="0.3">
      <c r="B29" s="185">
        <v>23</v>
      </c>
      <c r="C29" s="188">
        <v>2039</v>
      </c>
      <c r="D29" s="412">
        <f>Pivot!Z8</f>
        <v>-52261.189978332535</v>
      </c>
      <c r="E29" s="413">
        <f>Pivot!Z9</f>
        <v>-139964.33137531506</v>
      </c>
      <c r="F29" s="414">
        <f>Pivot!Z10</f>
        <v>-139033.51572614838</v>
      </c>
      <c r="G29" s="408">
        <f>Pivot!Z12</f>
        <v>3624915.0770706227</v>
      </c>
      <c r="H29" s="409">
        <f>Pivot!Z13</f>
        <v>15798.029412210914</v>
      </c>
      <c r="I29" s="409">
        <f>Pivot!Z14</f>
        <v>12935.842265443353</v>
      </c>
      <c r="J29" s="409">
        <f>Pivot!Z15</f>
        <v>7713.4125833493845</v>
      </c>
      <c r="K29" s="409">
        <f>Pivot!Z16</f>
        <v>10598.179480432</v>
      </c>
      <c r="L29" s="409">
        <f>Pivot!Z17</f>
        <v>0</v>
      </c>
      <c r="M29" s="409">
        <f>Pivot!Z18</f>
        <v>10818.607664937537</v>
      </c>
      <c r="N29" s="433">
        <f t="shared" si="0"/>
        <v>3682779.148476996</v>
      </c>
      <c r="O29" s="408">
        <f>Pivot!Z21</f>
        <v>0</v>
      </c>
      <c r="P29" s="409">
        <f>Pivot!Z22</f>
        <v>37588.582562475662</v>
      </c>
      <c r="Q29" s="433">
        <f t="shared" si="1"/>
        <v>37588.582562475662</v>
      </c>
      <c r="R29" s="434">
        <f t="shared" si="2"/>
        <v>3645190.5659145205</v>
      </c>
      <c r="S29" s="410"/>
      <c r="T29" s="67"/>
    </row>
    <row r="30" spans="2:20" x14ac:dyDescent="0.3">
      <c r="B30" s="185">
        <v>24</v>
      </c>
      <c r="C30" s="188">
        <v>2040</v>
      </c>
      <c r="D30" s="412">
        <f>Pivot!AA8</f>
        <v>0</v>
      </c>
      <c r="E30" s="413">
        <f>Pivot!AA9</f>
        <v>-143827.00622532587</v>
      </c>
      <c r="F30" s="414">
        <f>Pivot!AA10</f>
        <v>-143827.00622532587</v>
      </c>
      <c r="G30" s="408">
        <f>Pivot!AA12</f>
        <v>3731861.7851569471</v>
      </c>
      <c r="H30" s="409">
        <f>Pivot!AA13</f>
        <v>0</v>
      </c>
      <c r="I30" s="409">
        <f>Pivot!AA14</f>
        <v>0</v>
      </c>
      <c r="J30" s="409">
        <f>Pivot!AA15</f>
        <v>0</v>
      </c>
      <c r="K30" s="409">
        <f>Pivot!AA16</f>
        <v>0</v>
      </c>
      <c r="L30" s="409">
        <f>Pivot!AA17</f>
        <v>0</v>
      </c>
      <c r="M30" s="409">
        <f>Pivot!AA18</f>
        <v>0</v>
      </c>
      <c r="N30" s="433">
        <f t="shared" si="0"/>
        <v>3731861.7851569471</v>
      </c>
      <c r="O30" s="408">
        <f>Pivot!AA21</f>
        <v>0</v>
      </c>
      <c r="P30" s="409">
        <f>Pivot!AA22</f>
        <v>37588.582562475662</v>
      </c>
      <c r="Q30" s="433">
        <f t="shared" si="1"/>
        <v>37588.582562475662</v>
      </c>
      <c r="R30" s="434">
        <f t="shared" si="2"/>
        <v>3694273.2025944716</v>
      </c>
      <c r="S30" s="410"/>
      <c r="T30" s="67"/>
    </row>
    <row r="31" spans="2:20" x14ac:dyDescent="0.3">
      <c r="B31" s="188" t="s">
        <v>250</v>
      </c>
      <c r="C31" s="188" t="s">
        <v>249</v>
      </c>
      <c r="D31" s="418">
        <f t="shared" ref="D31:K31" si="3">SUM(D7:D30)</f>
        <v>-10974849.895449858</v>
      </c>
      <c r="E31" s="419">
        <f t="shared" si="3"/>
        <v>-2209205.412229564</v>
      </c>
      <c r="F31" s="420">
        <f t="shared" si="3"/>
        <v>-2013734.1259045629</v>
      </c>
      <c r="G31" s="421">
        <f t="shared" si="3"/>
        <v>55910288.790167712</v>
      </c>
      <c r="H31" s="422">
        <f t="shared" si="3"/>
        <v>4915393.3360095052</v>
      </c>
      <c r="I31" s="423">
        <f t="shared" si="3"/>
        <v>2716526.8757431083</v>
      </c>
      <c r="J31" s="422">
        <f t="shared" si="3"/>
        <v>1619816.6425033731</v>
      </c>
      <c r="K31" s="423">
        <f t="shared" si="3"/>
        <v>2076006.3750081819</v>
      </c>
      <c r="L31" s="422">
        <v>0</v>
      </c>
      <c r="M31" s="423">
        <f t="shared" ref="M31:R31" si="4">SUM(M7:M30)</f>
        <v>2271907.609636886</v>
      </c>
      <c r="N31" s="411">
        <f t="shared" si="4"/>
        <v>69509939.629068762</v>
      </c>
      <c r="O31" s="421">
        <f t="shared" si="4"/>
        <v>111134356</v>
      </c>
      <c r="P31" s="422">
        <f t="shared" si="4"/>
        <v>789360.23381198908</v>
      </c>
      <c r="Q31" s="415">
        <f t="shared" si="4"/>
        <v>111923716.233812</v>
      </c>
      <c r="R31" s="416">
        <f t="shared" si="4"/>
        <v>-42413776.604743242</v>
      </c>
      <c r="S31" s="417">
        <f>N31/Q31</f>
        <v>0.62104745953806972</v>
      </c>
    </row>
  </sheetData>
  <mergeCells count="7">
    <mergeCell ref="B2:D2"/>
    <mergeCell ref="G4:N4"/>
    <mergeCell ref="O4:Q4"/>
    <mergeCell ref="R4:S4"/>
    <mergeCell ref="B3:C3"/>
    <mergeCell ref="B4:C4"/>
    <mergeCell ref="D4:F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G17"/>
  <sheetViews>
    <sheetView workbookViewId="0">
      <selection activeCell="B21" sqref="B21"/>
    </sheetView>
  </sheetViews>
  <sheetFormatPr defaultRowHeight="14.4" x14ac:dyDescent="0.3"/>
  <cols>
    <col min="2" max="2" width="46.5546875" bestFit="1" customWidth="1"/>
    <col min="3" max="3" width="16.21875" customWidth="1"/>
    <col min="4" max="4" width="12.5546875" bestFit="1" customWidth="1"/>
    <col min="5" max="5" width="15.109375" customWidth="1"/>
    <col min="6" max="6" width="12" bestFit="1" customWidth="1"/>
  </cols>
  <sheetData>
    <row r="2" spans="2:7" ht="15" thickBot="1" x14ac:dyDescent="0.35">
      <c r="B2" s="12" t="s">
        <v>348</v>
      </c>
    </row>
    <row r="3" spans="2:7" ht="15" thickBot="1" x14ac:dyDescent="0.35">
      <c r="B3" s="292"/>
      <c r="C3" s="298">
        <v>2012</v>
      </c>
      <c r="D3" s="299"/>
      <c r="E3" s="299">
        <v>2013</v>
      </c>
      <c r="F3" s="300"/>
    </row>
    <row r="4" spans="2:7" x14ac:dyDescent="0.3">
      <c r="B4" s="267"/>
      <c r="C4" s="263" t="s">
        <v>336</v>
      </c>
      <c r="D4" s="294" t="s">
        <v>323</v>
      </c>
      <c r="E4" s="294" t="s">
        <v>337</v>
      </c>
      <c r="F4" s="295" t="s">
        <v>323</v>
      </c>
    </row>
    <row r="5" spans="2:7" x14ac:dyDescent="0.3">
      <c r="B5" s="207" t="s">
        <v>340</v>
      </c>
      <c r="C5" s="302">
        <v>223256000</v>
      </c>
      <c r="D5" s="293">
        <f>C5*'About the Spreadsheet Tabs'!D37</f>
        <v>0</v>
      </c>
      <c r="E5" s="293">
        <v>224770000</v>
      </c>
      <c r="F5" s="296">
        <f>E5*'About the Spreadsheet Tabs'!D38</f>
        <v>0</v>
      </c>
      <c r="G5" s="289" t="s">
        <v>338</v>
      </c>
    </row>
    <row r="6" spans="2:7" x14ac:dyDescent="0.3">
      <c r="B6" s="207" t="s">
        <v>341</v>
      </c>
      <c r="C6" s="208">
        <f>205075-18965-123437</f>
        <v>62673</v>
      </c>
      <c r="D6" s="55">
        <f>C6</f>
        <v>62673</v>
      </c>
      <c r="E6" s="55">
        <f>209159-22483-122515</f>
        <v>64161</v>
      </c>
      <c r="F6" s="297">
        <f>E6</f>
        <v>64161</v>
      </c>
      <c r="G6" s="289" t="s">
        <v>339</v>
      </c>
    </row>
    <row r="7" spans="2:7" ht="15" thickBot="1" x14ac:dyDescent="0.35">
      <c r="B7" s="301" t="s">
        <v>349</v>
      </c>
      <c r="C7" s="270">
        <f>C5/C6</f>
        <v>3562.2357314952214</v>
      </c>
      <c r="D7" s="265">
        <f t="shared" ref="D7:F7" si="0">D5/D6</f>
        <v>0</v>
      </c>
      <c r="E7" s="265">
        <f t="shared" si="0"/>
        <v>3503.2184660463522</v>
      </c>
      <c r="F7" s="271">
        <f t="shared" si="0"/>
        <v>0</v>
      </c>
    </row>
    <row r="8" spans="2:7" ht="15" thickBot="1" x14ac:dyDescent="0.35">
      <c r="B8" s="290" t="s">
        <v>346</v>
      </c>
      <c r="C8" s="291">
        <f>(D7+F7)/2</f>
        <v>0</v>
      </c>
    </row>
    <row r="9" spans="2:7" x14ac:dyDescent="0.3">
      <c r="B9" t="s">
        <v>342</v>
      </c>
    </row>
    <row r="11" spans="2:7" ht="15" thickBot="1" x14ac:dyDescent="0.35">
      <c r="B11" s="12" t="s">
        <v>347</v>
      </c>
      <c r="C11" s="1" t="s">
        <v>350</v>
      </c>
      <c r="D11" s="1" t="s">
        <v>323</v>
      </c>
    </row>
    <row r="12" spans="2:7" x14ac:dyDescent="0.3">
      <c r="B12" s="263" t="s">
        <v>343</v>
      </c>
      <c r="C12" s="303">
        <v>98000</v>
      </c>
      <c r="D12" s="304">
        <f>C12*'About the Spreadsheet Tabs'!D34</f>
        <v>0</v>
      </c>
    </row>
    <row r="13" spans="2:7" x14ac:dyDescent="0.3">
      <c r="B13" s="264" t="s">
        <v>344</v>
      </c>
      <c r="C13" s="293">
        <v>107000</v>
      </c>
      <c r="D13" s="296">
        <f>C13*'About the Spreadsheet Tabs'!D35</f>
        <v>0</v>
      </c>
    </row>
    <row r="14" spans="2:7" x14ac:dyDescent="0.3">
      <c r="B14" s="264" t="s">
        <v>345</v>
      </c>
      <c r="C14" s="293">
        <f>(C12+C13)/2</f>
        <v>102500</v>
      </c>
      <c r="D14" s="296">
        <f>C14*'About the Spreadsheet Tabs'!D36</f>
        <v>0</v>
      </c>
    </row>
    <row r="15" spans="2:7" ht="15" thickBot="1" x14ac:dyDescent="0.35">
      <c r="B15" s="305" t="s">
        <v>309</v>
      </c>
      <c r="C15" s="306">
        <v>12</v>
      </c>
      <c r="D15" s="307"/>
    </row>
    <row r="16" spans="2:7" ht="15" thickBot="1" x14ac:dyDescent="0.35">
      <c r="B16" s="315" t="s">
        <v>310</v>
      </c>
      <c r="C16" s="407">
        <f>D14/C15</f>
        <v>0</v>
      </c>
      <c r="D16" s="316"/>
    </row>
    <row r="17" spans="2:2" x14ac:dyDescent="0.3">
      <c r="B17" s="314" t="s">
        <v>354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D20"/>
  <sheetViews>
    <sheetView workbookViewId="0">
      <selection activeCell="D24" sqref="D24"/>
    </sheetView>
  </sheetViews>
  <sheetFormatPr defaultRowHeight="14.4" x14ac:dyDescent="0.3"/>
  <cols>
    <col min="2" max="2" width="49.109375" customWidth="1"/>
    <col min="3" max="3" width="19.44140625" customWidth="1"/>
    <col min="4" max="4" width="27.5546875" customWidth="1"/>
  </cols>
  <sheetData>
    <row r="2" spans="2:4" x14ac:dyDescent="0.3">
      <c r="B2" s="12" t="s">
        <v>293</v>
      </c>
      <c r="C2" s="30"/>
    </row>
    <row r="3" spans="2:4" ht="29.4" thickBot="1" x14ac:dyDescent="0.35">
      <c r="B3" s="216" t="s">
        <v>278</v>
      </c>
      <c r="C3" s="217" t="s">
        <v>279</v>
      </c>
      <c r="D3" s="218" t="s">
        <v>292</v>
      </c>
    </row>
    <row r="4" spans="2:4" ht="15.6" thickTop="1" thickBot="1" x14ac:dyDescent="0.35">
      <c r="B4" s="231" t="s">
        <v>280</v>
      </c>
      <c r="C4" s="232">
        <v>0</v>
      </c>
      <c r="D4" s="223">
        <f>C4*'About the Spreadsheet Tabs'!$D$31</f>
        <v>0</v>
      </c>
    </row>
    <row r="5" spans="2:4" ht="15" thickBot="1" x14ac:dyDescent="0.35">
      <c r="B5" s="233" t="s">
        <v>281</v>
      </c>
      <c r="C5" s="234">
        <v>0.1</v>
      </c>
      <c r="D5" s="96">
        <f>C5*'About the Spreadsheet Tabs'!$D$31</f>
        <v>0</v>
      </c>
    </row>
    <row r="6" spans="2:4" x14ac:dyDescent="0.3">
      <c r="B6" s="219" t="s">
        <v>282</v>
      </c>
      <c r="C6" s="220">
        <v>1</v>
      </c>
      <c r="D6" s="221">
        <f>C6*'About the Spreadsheet Tabs'!$D$31</f>
        <v>0</v>
      </c>
    </row>
    <row r="7" spans="2:4" x14ac:dyDescent="0.3">
      <c r="B7" s="224" t="s">
        <v>283</v>
      </c>
      <c r="C7" s="225">
        <v>3.1</v>
      </c>
      <c r="D7" s="226">
        <f>C7*'About the Spreadsheet Tabs'!$D$31</f>
        <v>0</v>
      </c>
    </row>
    <row r="8" spans="2:4" x14ac:dyDescent="0.3">
      <c r="B8" s="224" t="s">
        <v>284</v>
      </c>
      <c r="C8" s="225">
        <v>5.6</v>
      </c>
      <c r="D8" s="226">
        <f>C8*'About the Spreadsheet Tabs'!$D$31</f>
        <v>0</v>
      </c>
    </row>
    <row r="9" spans="2:4" x14ac:dyDescent="0.3">
      <c r="B9" s="224" t="s">
        <v>285</v>
      </c>
      <c r="C9" s="225">
        <v>18.100000000000001</v>
      </c>
      <c r="D9" s="226">
        <f>C9*'About the Spreadsheet Tabs'!$D$31</f>
        <v>0</v>
      </c>
    </row>
    <row r="10" spans="2:4" x14ac:dyDescent="0.3">
      <c r="B10" s="224" t="s">
        <v>286</v>
      </c>
      <c r="C10" s="259">
        <v>3.3</v>
      </c>
      <c r="D10" s="163">
        <f>C10*'About the Spreadsheet Tabs'!$D$31</f>
        <v>0</v>
      </c>
    </row>
    <row r="11" spans="2:4" x14ac:dyDescent="0.3">
      <c r="B11" s="222" t="s">
        <v>287</v>
      </c>
      <c r="C11" s="260">
        <v>10.5</v>
      </c>
      <c r="D11" s="261">
        <f>C11*'About the Spreadsheet Tabs'!$D$31</f>
        <v>0</v>
      </c>
    </row>
    <row r="12" spans="2:4" x14ac:dyDescent="0.3">
      <c r="B12" s="224" t="s">
        <v>288</v>
      </c>
      <c r="C12" s="225">
        <v>12.7</v>
      </c>
      <c r="D12" s="98">
        <f>C12*'About the Spreadsheet Tabs'!$D$31</f>
        <v>0</v>
      </c>
    </row>
    <row r="13" spans="2:4" ht="15" thickBot="1" x14ac:dyDescent="0.35">
      <c r="B13" s="256" t="s">
        <v>289</v>
      </c>
      <c r="C13" s="258">
        <v>40.9</v>
      </c>
      <c r="D13" s="262">
        <f>C13*'About the Spreadsheet Tabs'!$D$31</f>
        <v>0</v>
      </c>
    </row>
    <row r="14" spans="2:4" ht="15" thickBot="1" x14ac:dyDescent="0.35">
      <c r="B14" s="257" t="s">
        <v>318</v>
      </c>
      <c r="C14" s="229">
        <f>(C11+C13)/2</f>
        <v>25.7</v>
      </c>
      <c r="D14" s="230">
        <f>(D11+D13)/2</f>
        <v>0</v>
      </c>
    </row>
    <row r="15" spans="2:4" x14ac:dyDescent="0.3">
      <c r="B15" s="815" t="s">
        <v>290</v>
      </c>
      <c r="C15" s="815"/>
      <c r="D15" s="815"/>
    </row>
    <row r="16" spans="2:4" x14ac:dyDescent="0.3">
      <c r="B16" s="815" t="s">
        <v>291</v>
      </c>
      <c r="C16" s="815"/>
      <c r="D16" s="815"/>
    </row>
    <row r="18" spans="2:4" ht="29.4" customHeight="1" x14ac:dyDescent="0.3">
      <c r="B18" s="13" t="s">
        <v>293</v>
      </c>
      <c r="C18" s="213" t="s">
        <v>294</v>
      </c>
      <c r="D18" s="212" t="s">
        <v>292</v>
      </c>
    </row>
    <row r="19" spans="2:4" x14ac:dyDescent="0.3">
      <c r="B19" s="253" t="s">
        <v>299</v>
      </c>
      <c r="C19" s="254">
        <v>6.1</v>
      </c>
      <c r="D19" s="255">
        <f>C19*'About the Spreadsheet Tabs'!$D$35</f>
        <v>0</v>
      </c>
    </row>
    <row r="20" spans="2:4" x14ac:dyDescent="0.3">
      <c r="B20" t="s">
        <v>295</v>
      </c>
    </row>
  </sheetData>
  <mergeCells count="2">
    <mergeCell ref="B15:D15"/>
    <mergeCell ref="B16:D1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F15"/>
  <sheetViews>
    <sheetView workbookViewId="0">
      <selection activeCell="G16" sqref="G16"/>
    </sheetView>
  </sheetViews>
  <sheetFormatPr defaultRowHeight="14.4" x14ac:dyDescent="0.3"/>
  <cols>
    <col min="2" max="2" width="26.21875" bestFit="1" customWidth="1"/>
    <col min="3" max="4" width="12.44140625" customWidth="1"/>
    <col min="5" max="5" width="13.77734375" bestFit="1" customWidth="1"/>
    <col min="6" max="6" width="12.44140625" customWidth="1"/>
  </cols>
  <sheetData>
    <row r="2" spans="2:6" x14ac:dyDescent="0.3">
      <c r="B2" t="s">
        <v>332</v>
      </c>
    </row>
    <row r="3" spans="2:6" x14ac:dyDescent="0.3">
      <c r="C3" t="s">
        <v>75</v>
      </c>
      <c r="D3" t="s">
        <v>90</v>
      </c>
      <c r="E3" t="s">
        <v>220</v>
      </c>
      <c r="F3" t="s">
        <v>219</v>
      </c>
    </row>
    <row r="4" spans="2:6" x14ac:dyDescent="0.3">
      <c r="B4" t="s">
        <v>217</v>
      </c>
      <c r="C4" s="67">
        <v>461</v>
      </c>
      <c r="D4" s="67">
        <v>17336</v>
      </c>
      <c r="E4" s="67">
        <f>F4-C4-D4</f>
        <v>40652</v>
      </c>
      <c r="F4" s="67">
        <v>58449</v>
      </c>
    </row>
    <row r="5" spans="2:6" x14ac:dyDescent="0.3">
      <c r="B5" t="s">
        <v>218</v>
      </c>
      <c r="C5" s="5">
        <f>C4/($E$8/100000000)</f>
        <v>1.3549259346343756</v>
      </c>
      <c r="D5" s="5">
        <f t="shared" ref="D5:F5" si="0">D4/($E$8/100000000)</f>
        <v>50.952268986597694</v>
      </c>
      <c r="E5" s="5">
        <f t="shared" si="0"/>
        <v>119.48036679990595</v>
      </c>
      <c r="F5" s="5">
        <f t="shared" si="0"/>
        <v>171.78756172113802</v>
      </c>
    </row>
    <row r="6" spans="2:6" x14ac:dyDescent="0.3">
      <c r="B6" t="s">
        <v>333</v>
      </c>
    </row>
    <row r="8" spans="2:6" x14ac:dyDescent="0.3">
      <c r="B8" t="s">
        <v>221</v>
      </c>
      <c r="C8" t="s">
        <v>222</v>
      </c>
      <c r="E8" s="156">
        <v>34024000000</v>
      </c>
      <c r="F8" t="s">
        <v>331</v>
      </c>
    </row>
    <row r="9" spans="2:6" x14ac:dyDescent="0.3">
      <c r="C9" t="s">
        <v>223</v>
      </c>
    </row>
    <row r="11" spans="2:6" ht="28.8" x14ac:dyDescent="0.3">
      <c r="B11" s="461"/>
      <c r="C11" s="462" t="s">
        <v>456</v>
      </c>
      <c r="D11" s="462" t="s">
        <v>457</v>
      </c>
    </row>
    <row r="12" spans="2:6" x14ac:dyDescent="0.3">
      <c r="B12" s="461" t="s">
        <v>455</v>
      </c>
      <c r="C12" s="463">
        <f>E8/100000000</f>
        <v>340.24</v>
      </c>
      <c r="D12" s="463"/>
    </row>
    <row r="13" spans="2:6" x14ac:dyDescent="0.3">
      <c r="B13" s="461" t="s">
        <v>75</v>
      </c>
      <c r="C13" s="464">
        <f>C4</f>
        <v>461</v>
      </c>
      <c r="D13" s="465">
        <f>C5</f>
        <v>1.3549259346343756</v>
      </c>
    </row>
    <row r="14" spans="2:6" x14ac:dyDescent="0.3">
      <c r="B14" s="461" t="s">
        <v>90</v>
      </c>
      <c r="C14" s="464">
        <f>D4</f>
        <v>17336</v>
      </c>
      <c r="D14" s="465">
        <f>D5</f>
        <v>50.952268986597694</v>
      </c>
    </row>
    <row r="15" spans="2:6" x14ac:dyDescent="0.3">
      <c r="B15" s="461" t="s">
        <v>220</v>
      </c>
      <c r="C15" s="464">
        <f>E4</f>
        <v>40652</v>
      </c>
      <c r="D15" s="465">
        <f>E5</f>
        <v>119.48036679990595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Q65"/>
  <sheetViews>
    <sheetView topLeftCell="B34" workbookViewId="0">
      <selection activeCell="Q47" sqref="Q47"/>
    </sheetView>
  </sheetViews>
  <sheetFormatPr defaultRowHeight="14.4" x14ac:dyDescent="0.3"/>
  <cols>
    <col min="1" max="1" width="5.5546875" customWidth="1"/>
    <col min="4" max="4" width="10.6640625" customWidth="1"/>
    <col min="5" max="5" width="11.5546875" bestFit="1" customWidth="1"/>
    <col min="9" max="9" width="35.44140625" customWidth="1"/>
    <col min="12" max="12" width="11.21875" customWidth="1"/>
  </cols>
  <sheetData>
    <row r="1" spans="2:15" x14ac:dyDescent="0.3">
      <c r="B1" s="27" t="s">
        <v>49</v>
      </c>
      <c r="J1" s="27" t="s">
        <v>49</v>
      </c>
    </row>
    <row r="2" spans="2:15" x14ac:dyDescent="0.3">
      <c r="B2" s="27" t="s">
        <v>48</v>
      </c>
      <c r="J2" s="27" t="s">
        <v>48</v>
      </c>
    </row>
    <row r="3" spans="2:15" x14ac:dyDescent="0.3">
      <c r="B3" s="12" t="s">
        <v>96</v>
      </c>
      <c r="J3" s="12" t="s">
        <v>208</v>
      </c>
    </row>
    <row r="4" spans="2:15" x14ac:dyDescent="0.3">
      <c r="B4" s="6">
        <v>1994</v>
      </c>
      <c r="C4" s="60">
        <v>1.0780000000000001</v>
      </c>
      <c r="D4" s="6"/>
      <c r="J4" s="7">
        <v>1995</v>
      </c>
      <c r="K4" s="60">
        <v>1.109</v>
      </c>
      <c r="L4" s="6"/>
      <c r="M4" s="28" t="s">
        <v>50</v>
      </c>
      <c r="N4" s="8" t="s">
        <v>18</v>
      </c>
    </row>
    <row r="5" spans="2:15" x14ac:dyDescent="0.3">
      <c r="B5" s="6">
        <v>1995</v>
      </c>
      <c r="C5" s="60">
        <v>1.1579999999999999</v>
      </c>
      <c r="D5" s="23">
        <v>7.4211502782931205E-2</v>
      </c>
      <c r="E5" s="28" t="s">
        <v>50</v>
      </c>
      <c r="F5" s="8" t="s">
        <v>18</v>
      </c>
      <c r="J5" s="7">
        <v>1996</v>
      </c>
      <c r="K5" s="60">
        <v>1.2350000000000001</v>
      </c>
      <c r="L5" s="23">
        <v>0.11361587015329136</v>
      </c>
      <c r="M5" s="29" t="s">
        <v>51</v>
      </c>
      <c r="N5" s="16">
        <v>4.5629519571425359E-2</v>
      </c>
    </row>
    <row r="6" spans="2:15" x14ac:dyDescent="0.3">
      <c r="B6" s="6">
        <v>1996</v>
      </c>
      <c r="C6" s="60">
        <v>1.2450000000000001</v>
      </c>
      <c r="D6" s="23">
        <v>7.5129533678756646E-2</v>
      </c>
      <c r="E6" s="29" t="s">
        <v>51</v>
      </c>
      <c r="F6" s="16">
        <v>3.9643874471628093E-2</v>
      </c>
      <c r="J6" s="7">
        <v>1997</v>
      </c>
      <c r="K6" s="60">
        <v>1.198</v>
      </c>
      <c r="L6" s="23">
        <v>-2.9959514170040599E-2</v>
      </c>
      <c r="M6" s="29" t="s">
        <v>52</v>
      </c>
      <c r="N6" s="16">
        <v>4.0560591610510288E-2</v>
      </c>
    </row>
    <row r="7" spans="2:15" x14ac:dyDescent="0.3">
      <c r="B7" s="6">
        <v>1997</v>
      </c>
      <c r="C7" s="60">
        <v>1.244</v>
      </c>
      <c r="D7" s="23">
        <v>-8.032128514057123E-4</v>
      </c>
      <c r="E7" s="29" t="s">
        <v>52</v>
      </c>
      <c r="F7" s="16">
        <v>3.4141680549210296E-2</v>
      </c>
      <c r="J7" s="7">
        <v>1998</v>
      </c>
      <c r="K7" s="60">
        <v>1.044</v>
      </c>
      <c r="L7" s="23">
        <v>-0.12854757929883132</v>
      </c>
      <c r="M7" s="29" t="s">
        <v>53</v>
      </c>
      <c r="N7" s="16">
        <v>1.2025662451520036E-2</v>
      </c>
    </row>
    <row r="8" spans="2:15" x14ac:dyDescent="0.3">
      <c r="B8" s="6">
        <v>1998</v>
      </c>
      <c r="C8" s="60">
        <v>1.0720000000000001</v>
      </c>
      <c r="D8" s="23">
        <v>-0.13826366559485526</v>
      </c>
      <c r="E8" s="29" t="s">
        <v>53</v>
      </c>
      <c r="F8" s="16">
        <v>8.5645953469983827E-3</v>
      </c>
      <c r="J8" s="7">
        <v>1999</v>
      </c>
      <c r="K8" s="60">
        <v>1.121</v>
      </c>
      <c r="L8" s="23">
        <v>7.3754789272030608E-2</v>
      </c>
      <c r="M8" s="29" t="s">
        <v>54</v>
      </c>
      <c r="N8" s="16">
        <v>6.7333140465566821E-2</v>
      </c>
    </row>
    <row r="9" spans="2:15" x14ac:dyDescent="0.3">
      <c r="B9" s="6">
        <v>1999</v>
      </c>
      <c r="C9" s="60">
        <v>1.1759999999999999</v>
      </c>
      <c r="D9" s="23">
        <v>9.7014925373134206E-2</v>
      </c>
      <c r="E9" s="29" t="s">
        <v>54</v>
      </c>
      <c r="F9" s="16">
        <v>5.8929124781026632E-2</v>
      </c>
      <c r="J9" s="7">
        <v>2000</v>
      </c>
      <c r="K9" s="60">
        <v>1.4910000000000001</v>
      </c>
      <c r="L9" s="23">
        <v>0.33006244424620884</v>
      </c>
      <c r="M9" s="29" t="s">
        <v>55</v>
      </c>
      <c r="N9" s="16">
        <v>6.9609548225638473E-2</v>
      </c>
    </row>
    <row r="10" spans="2:15" ht="15" thickBot="1" x14ac:dyDescent="0.35">
      <c r="B10" s="6">
        <v>2000</v>
      </c>
      <c r="C10" s="60">
        <v>1.5229999999999999</v>
      </c>
      <c r="D10" s="23">
        <v>0.29506802721088438</v>
      </c>
      <c r="E10" s="29" t="s">
        <v>55</v>
      </c>
      <c r="F10" s="16">
        <v>5.9860105148795251E-2</v>
      </c>
      <c r="J10" s="7">
        <v>2001</v>
      </c>
      <c r="K10" s="60">
        <v>1.401</v>
      </c>
      <c r="L10" s="23">
        <v>-6.0362173038229425E-2</v>
      </c>
      <c r="M10" s="62" t="s">
        <v>56</v>
      </c>
      <c r="N10" s="63">
        <v>5.3054715916259987E-2</v>
      </c>
    </row>
    <row r="11" spans="2:15" ht="15" thickBot="1" x14ac:dyDescent="0.35">
      <c r="B11" s="6">
        <v>2001</v>
      </c>
      <c r="C11" s="60">
        <v>1.46</v>
      </c>
      <c r="D11" s="23">
        <v>-4.1365725541693994E-2</v>
      </c>
      <c r="E11" s="62" t="s">
        <v>56</v>
      </c>
      <c r="F11" s="63">
        <v>4.4938393300576251E-2</v>
      </c>
      <c r="J11" s="7">
        <v>2002</v>
      </c>
      <c r="K11" s="60">
        <v>1.319</v>
      </c>
      <c r="L11" s="61">
        <v>-5.852962169878663E-2</v>
      </c>
      <c r="M11" s="64" t="s">
        <v>57</v>
      </c>
      <c r="N11" s="65">
        <v>3.5000000000000003E-2</v>
      </c>
    </row>
    <row r="12" spans="2:15" ht="15" thickBot="1" x14ac:dyDescent="0.35">
      <c r="B12" s="6">
        <v>2002</v>
      </c>
      <c r="C12" s="60">
        <v>1.3859999999999999</v>
      </c>
      <c r="D12" s="61">
        <v>-5.0684931506849364E-2</v>
      </c>
      <c r="E12" s="64" t="s">
        <v>57</v>
      </c>
      <c r="F12" s="65">
        <v>0.03</v>
      </c>
      <c r="J12" s="7">
        <v>2003</v>
      </c>
      <c r="K12" s="60">
        <v>1.5089999999999999</v>
      </c>
      <c r="L12" s="23">
        <v>0.14404852160727821</v>
      </c>
      <c r="M12" s="119" t="s">
        <v>207</v>
      </c>
      <c r="N12" s="2">
        <v>2.5760000000000001</v>
      </c>
      <c r="O12" t="s">
        <v>328</v>
      </c>
    </row>
    <row r="13" spans="2:15" ht="15" thickBot="1" x14ac:dyDescent="0.35">
      <c r="B13" s="6">
        <v>2003</v>
      </c>
      <c r="C13" s="60">
        <v>1.603</v>
      </c>
      <c r="D13" s="23">
        <v>0.15656565656565663</v>
      </c>
      <c r="E13" s="119" t="s">
        <v>207</v>
      </c>
      <c r="F13" s="2">
        <v>2.2559999999999998</v>
      </c>
      <c r="G13" t="s">
        <v>328</v>
      </c>
      <c r="J13" s="7">
        <v>2004</v>
      </c>
      <c r="K13" s="60">
        <v>1.81</v>
      </c>
      <c r="L13" s="61">
        <v>0.19946984758117969</v>
      </c>
      <c r="M13" s="120">
        <v>2015</v>
      </c>
      <c r="N13" s="121">
        <v>2.5760000000000001</v>
      </c>
    </row>
    <row r="14" spans="2:15" ht="15" thickBot="1" x14ac:dyDescent="0.35">
      <c r="B14" s="6">
        <v>2004</v>
      </c>
      <c r="C14" s="60">
        <v>1.895</v>
      </c>
      <c r="D14" s="23">
        <v>0.18215845290081101</v>
      </c>
      <c r="E14" s="120">
        <v>2015</v>
      </c>
      <c r="F14" s="121">
        <v>2.2559999999999998</v>
      </c>
      <c r="J14" s="7">
        <v>2005</v>
      </c>
      <c r="K14" s="60">
        <v>2.4020000000000001</v>
      </c>
      <c r="L14" s="23">
        <v>0.32707182320441991</v>
      </c>
    </row>
    <row r="15" spans="2:15" x14ac:dyDescent="0.3">
      <c r="B15" s="6">
        <v>2005</v>
      </c>
      <c r="C15" s="60">
        <v>2.3140000000000001</v>
      </c>
      <c r="D15" s="23">
        <v>0.2211081794195251</v>
      </c>
      <c r="J15" s="7">
        <v>2006</v>
      </c>
      <c r="K15" s="60">
        <v>2.7050000000000001</v>
      </c>
      <c r="L15" s="23">
        <v>0.12614487926727724</v>
      </c>
    </row>
    <row r="16" spans="2:15" x14ac:dyDescent="0.3">
      <c r="B16" s="6">
        <v>2006</v>
      </c>
      <c r="C16" s="60">
        <v>2.6179999999999999</v>
      </c>
      <c r="D16" s="23">
        <v>0.13137424373379422</v>
      </c>
      <c r="J16" s="7">
        <v>2007</v>
      </c>
      <c r="K16" s="60">
        <v>2.8849999999999998</v>
      </c>
      <c r="L16" s="23">
        <v>6.654343807763391E-2</v>
      </c>
    </row>
    <row r="17" spans="2:12" x14ac:dyDescent="0.3">
      <c r="B17" s="6">
        <v>2007</v>
      </c>
      <c r="C17" s="60">
        <v>2.843</v>
      </c>
      <c r="D17" s="23">
        <v>8.5943468296409517E-2</v>
      </c>
      <c r="J17" s="7">
        <v>2008</v>
      </c>
      <c r="K17" s="60">
        <v>3.8029999999999999</v>
      </c>
      <c r="L17" s="23">
        <v>0.31819757365684581</v>
      </c>
    </row>
    <row r="18" spans="2:12" x14ac:dyDescent="0.3">
      <c r="B18" s="6">
        <v>2008</v>
      </c>
      <c r="C18" s="60">
        <v>3.2989999999999999</v>
      </c>
      <c r="D18" s="23">
        <v>0.16039395005276116</v>
      </c>
      <c r="J18" s="7">
        <v>2009</v>
      </c>
      <c r="K18" s="60">
        <v>2.4670000000000001</v>
      </c>
      <c r="L18" s="23">
        <v>-0.35130160399684457</v>
      </c>
    </row>
    <row r="19" spans="2:12" x14ac:dyDescent="0.3">
      <c r="B19" s="6">
        <v>2009</v>
      </c>
      <c r="C19" s="60">
        <v>2.4060000000000001</v>
      </c>
      <c r="D19" s="23">
        <v>-0.27068808729918153</v>
      </c>
      <c r="J19" s="7">
        <v>2010</v>
      </c>
      <c r="K19" s="60">
        <v>2.992</v>
      </c>
      <c r="L19" s="23">
        <v>0.21280907985407374</v>
      </c>
    </row>
    <row r="20" spans="2:12" x14ac:dyDescent="0.3">
      <c r="B20" s="6">
        <v>2010</v>
      </c>
      <c r="C20" s="60">
        <v>2.835</v>
      </c>
      <c r="D20" s="23">
        <v>0.17830423940149617</v>
      </c>
      <c r="J20" s="7">
        <v>2011</v>
      </c>
      <c r="K20" s="60">
        <v>3.84</v>
      </c>
      <c r="L20" s="23">
        <v>0.2834224598930481</v>
      </c>
    </row>
    <row r="21" spans="2:12" x14ac:dyDescent="0.3">
      <c r="B21" s="6">
        <v>2011</v>
      </c>
      <c r="C21" s="60">
        <v>3.5760000000000001</v>
      </c>
      <c r="D21" s="23">
        <v>0.26137566137566143</v>
      </c>
      <c r="J21" s="7">
        <v>2012</v>
      </c>
      <c r="K21" s="60">
        <v>3.968</v>
      </c>
      <c r="L21" s="23">
        <v>3.3333333333333368E-2</v>
      </c>
    </row>
    <row r="22" spans="2:12" x14ac:dyDescent="0.3">
      <c r="B22" s="6">
        <v>2012</v>
      </c>
      <c r="C22" s="60">
        <v>3.68</v>
      </c>
      <c r="D22" s="23">
        <v>2.9082774049217028E-2</v>
      </c>
      <c r="J22" s="7">
        <v>2013</v>
      </c>
      <c r="K22" s="60">
        <v>3.9220000000000002</v>
      </c>
      <c r="L22" s="23">
        <v>-1.1592741935483826E-2</v>
      </c>
    </row>
    <row r="23" spans="2:12" x14ac:dyDescent="0.3">
      <c r="B23" s="6">
        <v>2013</v>
      </c>
      <c r="C23" s="60">
        <v>3.5750000000000002</v>
      </c>
      <c r="D23" s="23">
        <v>-2.8532608695652169E-2</v>
      </c>
      <c r="J23" s="7">
        <v>2014</v>
      </c>
      <c r="K23" s="60">
        <v>3.8250000000000002</v>
      </c>
      <c r="L23" s="23">
        <v>-2.4732279449260573E-2</v>
      </c>
    </row>
    <row r="24" spans="2:12" x14ac:dyDescent="0.3">
      <c r="B24" s="6">
        <v>2014</v>
      </c>
      <c r="C24" s="60">
        <v>3.4369999999999998</v>
      </c>
      <c r="D24" s="23">
        <v>-3.8601398601398697E-2</v>
      </c>
      <c r="J24" s="7">
        <v>2015</v>
      </c>
      <c r="K24" s="60">
        <v>2.7069999999999999</v>
      </c>
      <c r="L24" s="23">
        <v>-0.29228758169934649</v>
      </c>
    </row>
    <row r="25" spans="2:12" x14ac:dyDescent="0.3">
      <c r="B25" s="6">
        <v>2015</v>
      </c>
      <c r="C25" s="60">
        <v>2.52</v>
      </c>
      <c r="D25" s="23">
        <v>-0.26680244399185332</v>
      </c>
    </row>
    <row r="27" spans="2:12" s="4" customFormat="1" ht="28.8" x14ac:dyDescent="0.3">
      <c r="B27" s="818" t="s">
        <v>125</v>
      </c>
      <c r="C27" s="818"/>
      <c r="D27" s="22" t="s">
        <v>123</v>
      </c>
    </row>
    <row r="28" spans="2:12" x14ac:dyDescent="0.3">
      <c r="B28" s="804" t="s">
        <v>126</v>
      </c>
      <c r="C28" s="804"/>
      <c r="D28" s="86">
        <v>4.1489999999999999E-2</v>
      </c>
      <c r="E28" t="s">
        <v>124</v>
      </c>
    </row>
    <row r="29" spans="2:12" x14ac:dyDescent="0.3">
      <c r="B29" s="804" t="s">
        <v>92</v>
      </c>
      <c r="C29" s="804"/>
      <c r="D29" s="86">
        <v>5.7799999999999997E-2</v>
      </c>
      <c r="E29" t="s">
        <v>124</v>
      </c>
    </row>
    <row r="30" spans="2:12" x14ac:dyDescent="0.3">
      <c r="B30" s="819" t="s">
        <v>127</v>
      </c>
      <c r="C30" s="819"/>
      <c r="D30" s="660">
        <v>4.9644999999999995E-2</v>
      </c>
    </row>
    <row r="31" spans="2:12" ht="15" thickBot="1" x14ac:dyDescent="0.35">
      <c r="B31" s="820" t="s">
        <v>591</v>
      </c>
      <c r="C31" s="820"/>
      <c r="D31" s="393">
        <f>P49</f>
        <v>48.3</v>
      </c>
    </row>
    <row r="32" spans="2:12" ht="15" thickBot="1" x14ac:dyDescent="0.35">
      <c r="B32" s="816" t="s">
        <v>592</v>
      </c>
      <c r="C32" s="817"/>
      <c r="D32" s="132">
        <f>D30*D31</f>
        <v>2.3978534999999996</v>
      </c>
    </row>
    <row r="34" spans="2:17" ht="43.2" x14ac:dyDescent="0.3">
      <c r="B34" s="821" t="s">
        <v>125</v>
      </c>
      <c r="C34" s="821"/>
      <c r="D34" s="93" t="s">
        <v>130</v>
      </c>
      <c r="E34" s="93" t="s">
        <v>123</v>
      </c>
    </row>
    <row r="35" spans="2:17" x14ac:dyDescent="0.3">
      <c r="B35" s="822" t="s">
        <v>128</v>
      </c>
      <c r="C35" s="822"/>
      <c r="D35" s="662">
        <v>6.3</v>
      </c>
      <c r="E35" s="663">
        <v>0.15873015873015872</v>
      </c>
      <c r="F35" t="s">
        <v>129</v>
      </c>
    </row>
    <row r="36" spans="2:17" ht="15" thickBot="1" x14ac:dyDescent="0.35">
      <c r="B36" s="820" t="s">
        <v>591</v>
      </c>
      <c r="C36" s="820"/>
      <c r="D36" s="820"/>
      <c r="E36" s="393">
        <f>P49</f>
        <v>48.3</v>
      </c>
    </row>
    <row r="37" spans="2:17" ht="15" thickBot="1" x14ac:dyDescent="0.35">
      <c r="B37" s="816" t="s">
        <v>592</v>
      </c>
      <c r="C37" s="817"/>
      <c r="D37" s="817"/>
      <c r="E37" s="132">
        <f>E35*E36</f>
        <v>7.6666666666666661</v>
      </c>
    </row>
    <row r="39" spans="2:17" x14ac:dyDescent="0.3">
      <c r="F39" t="s">
        <v>586</v>
      </c>
    </row>
    <row r="40" spans="2:17" x14ac:dyDescent="0.3">
      <c r="F40" t="s">
        <v>17</v>
      </c>
    </row>
    <row r="43" spans="2:17" x14ac:dyDescent="0.3">
      <c r="B43" t="s">
        <v>17</v>
      </c>
    </row>
    <row r="44" spans="2:17" x14ac:dyDescent="0.3">
      <c r="B44" t="s">
        <v>16</v>
      </c>
    </row>
    <row r="45" spans="2:17" ht="28.8" x14ac:dyDescent="0.3">
      <c r="B45" s="15" t="s">
        <v>7</v>
      </c>
      <c r="C45" s="9" t="s">
        <v>8</v>
      </c>
      <c r="D45" s="9" t="s">
        <v>9</v>
      </c>
      <c r="E45" s="9" t="s">
        <v>10</v>
      </c>
      <c r="F45" s="9" t="s">
        <v>14</v>
      </c>
      <c r="G45" s="9" t="s">
        <v>15</v>
      </c>
      <c r="H45" s="9" t="s">
        <v>6</v>
      </c>
      <c r="I45" s="9" t="s">
        <v>18</v>
      </c>
      <c r="J45" s="9" t="s">
        <v>204</v>
      </c>
      <c r="K45" s="4"/>
      <c r="L45" s="4"/>
      <c r="M45" s="799" t="s">
        <v>583</v>
      </c>
      <c r="N45" s="799"/>
      <c r="O45" s="799"/>
      <c r="P45" s="799"/>
      <c r="Q45" s="4"/>
    </row>
    <row r="46" spans="2:17" x14ac:dyDescent="0.3">
      <c r="B46" s="6" t="s">
        <v>11</v>
      </c>
      <c r="C46" s="58">
        <v>9.18</v>
      </c>
      <c r="D46" s="58">
        <v>10.87</v>
      </c>
      <c r="E46" s="58">
        <v>13.58</v>
      </c>
      <c r="F46" s="58">
        <v>14.6</v>
      </c>
      <c r="G46" s="58">
        <v>13.65</v>
      </c>
      <c r="H46" s="58">
        <v>12.375999999999999</v>
      </c>
      <c r="I46" s="59">
        <v>3.375288237906604E-2</v>
      </c>
      <c r="J46" s="58">
        <v>12.426062976948835</v>
      </c>
      <c r="M46" s="6"/>
      <c r="N46" s="639" t="s">
        <v>584</v>
      </c>
      <c r="O46" s="639" t="s">
        <v>479</v>
      </c>
      <c r="P46" s="639" t="s">
        <v>93</v>
      </c>
    </row>
    <row r="47" spans="2:17" x14ac:dyDescent="0.3">
      <c r="B47" s="6" t="s">
        <v>12</v>
      </c>
      <c r="C47" s="21">
        <v>4.68</v>
      </c>
      <c r="D47" s="21">
        <v>5.2</v>
      </c>
      <c r="E47" s="21">
        <v>5.46</v>
      </c>
      <c r="F47" s="21">
        <v>5.65</v>
      </c>
      <c r="G47" s="21">
        <v>5.19</v>
      </c>
      <c r="H47" s="21">
        <v>5.2360000000000007</v>
      </c>
      <c r="I47" s="16">
        <v>-2.7093756114154877E-3</v>
      </c>
      <c r="J47" s="21">
        <v>5.2360000000000007</v>
      </c>
      <c r="M47" s="6" t="s">
        <v>585</v>
      </c>
      <c r="N47" s="639">
        <v>21.2</v>
      </c>
      <c r="O47" s="639">
        <v>48.3</v>
      </c>
      <c r="P47" s="639"/>
      <c r="Q47" t="s">
        <v>586</v>
      </c>
    </row>
    <row r="48" spans="2:17" x14ac:dyDescent="0.3">
      <c r="B48" s="6" t="s">
        <v>13</v>
      </c>
      <c r="C48" s="21">
        <v>0.68</v>
      </c>
      <c r="D48" s="21">
        <v>1.1100000000000001</v>
      </c>
      <c r="E48" s="21">
        <v>1.1499999999999999</v>
      </c>
      <c r="F48" s="21">
        <v>1.38</v>
      </c>
      <c r="G48" s="21">
        <v>0.84</v>
      </c>
      <c r="H48" s="21">
        <v>1.032</v>
      </c>
      <c r="I48" s="16">
        <v>4.8938370495255068E-2</v>
      </c>
      <c r="J48" s="21">
        <v>1.032</v>
      </c>
      <c r="M48" s="6" t="s">
        <v>587</v>
      </c>
      <c r="N48" s="639">
        <v>0</v>
      </c>
      <c r="O48" s="639">
        <v>1</v>
      </c>
      <c r="P48" s="639">
        <v>1</v>
      </c>
      <c r="Q48" t="s">
        <v>17</v>
      </c>
    </row>
    <row r="49" spans="2:16" x14ac:dyDescent="0.3">
      <c r="B49" s="6" t="s">
        <v>94</v>
      </c>
      <c r="C49" s="21">
        <v>5.3599999999999994</v>
      </c>
      <c r="D49" s="21">
        <v>6.3100000000000005</v>
      </c>
      <c r="E49" s="21">
        <v>6.6099999999999994</v>
      </c>
      <c r="F49" s="21">
        <v>7.03</v>
      </c>
      <c r="G49" s="21">
        <v>6.03</v>
      </c>
      <c r="H49" s="21">
        <v>6.2680000000000007</v>
      </c>
      <c r="I49" s="17">
        <v>4.0451662046570025E-3</v>
      </c>
      <c r="J49" s="654">
        <v>6.2680000000000007</v>
      </c>
      <c r="M49" s="13" t="s">
        <v>588</v>
      </c>
      <c r="N49" s="639"/>
      <c r="O49" s="639"/>
      <c r="P49" s="642">
        <f>(N47*N48+O47*O48)/P48</f>
        <v>48.3</v>
      </c>
    </row>
    <row r="50" spans="2:16" ht="15" thickBot="1" x14ac:dyDescent="0.35">
      <c r="B50" s="122"/>
      <c r="C50" s="657"/>
      <c r="D50" s="657"/>
      <c r="E50" s="657"/>
      <c r="F50" s="657"/>
      <c r="G50" s="657"/>
      <c r="H50" s="657"/>
      <c r="I50" s="658"/>
      <c r="J50" s="659">
        <f>P49</f>
        <v>48.3</v>
      </c>
      <c r="K50" t="s">
        <v>589</v>
      </c>
    </row>
    <row r="51" spans="2:16" ht="15" thickBot="1" x14ac:dyDescent="0.35">
      <c r="B51" s="122"/>
      <c r="C51" s="657"/>
      <c r="D51" s="657"/>
      <c r="E51" s="657"/>
      <c r="F51" s="657"/>
      <c r="G51" s="657"/>
      <c r="H51" s="657"/>
      <c r="I51" s="658"/>
      <c r="J51" s="123">
        <f>(J49/100)*J50</f>
        <v>3.0274440000000005</v>
      </c>
      <c r="K51" s="12" t="s">
        <v>590</v>
      </c>
    </row>
    <row r="55" spans="2:16" x14ac:dyDescent="0.3">
      <c r="B55" t="s">
        <v>38</v>
      </c>
    </row>
    <row r="56" spans="2:16" x14ac:dyDescent="0.3">
      <c r="B56" s="12" t="s">
        <v>58</v>
      </c>
      <c r="C56" s="12"/>
      <c r="D56" s="12"/>
    </row>
    <row r="57" spans="2:16" ht="28.8" x14ac:dyDescent="0.3">
      <c r="B57" s="24" t="s">
        <v>39</v>
      </c>
      <c r="C57" s="19">
        <v>2008</v>
      </c>
      <c r="D57" s="19">
        <v>2014</v>
      </c>
      <c r="E57" s="22" t="s">
        <v>47</v>
      </c>
      <c r="F57" s="22" t="s">
        <v>205</v>
      </c>
      <c r="G57" s="22" t="s">
        <v>206</v>
      </c>
    </row>
    <row r="58" spans="2:16" x14ac:dyDescent="0.3">
      <c r="B58" s="6" t="s">
        <v>40</v>
      </c>
      <c r="C58" s="10">
        <v>25.3</v>
      </c>
      <c r="D58" s="11">
        <v>23.29</v>
      </c>
      <c r="E58" s="20">
        <v>-1.3701980111002987E-2</v>
      </c>
      <c r="F58" s="25"/>
      <c r="G58" s="11">
        <v>25.822039308749993</v>
      </c>
    </row>
    <row r="59" spans="2:16" x14ac:dyDescent="0.3">
      <c r="B59" s="6" t="s">
        <v>41</v>
      </c>
      <c r="C59" s="10">
        <v>8.52</v>
      </c>
      <c r="D59" s="10">
        <v>8.59</v>
      </c>
      <c r="E59" s="20">
        <v>1.3646628318724208E-3</v>
      </c>
      <c r="F59" s="10">
        <v>8.6017224537257846</v>
      </c>
    </row>
    <row r="60" spans="2:16" x14ac:dyDescent="0.3">
      <c r="B60" s="6" t="s">
        <v>42</v>
      </c>
      <c r="C60" s="10">
        <v>4.1100000000000003</v>
      </c>
      <c r="D60" s="10">
        <v>5.92</v>
      </c>
      <c r="E60" s="20">
        <v>6.2706444233879166E-2</v>
      </c>
      <c r="F60" s="10">
        <v>6.2912221498645646</v>
      </c>
    </row>
    <row r="61" spans="2:16" x14ac:dyDescent="0.3">
      <c r="B61" s="6" t="s">
        <v>43</v>
      </c>
      <c r="C61" s="10">
        <v>2.2200000000000002</v>
      </c>
      <c r="D61" s="10">
        <v>2.57</v>
      </c>
      <c r="E61" s="20">
        <v>2.4699894469863315E-2</v>
      </c>
      <c r="F61" s="10">
        <v>2.6334787287875487</v>
      </c>
    </row>
    <row r="62" spans="2:16" x14ac:dyDescent="0.3">
      <c r="B62" s="6" t="s">
        <v>44</v>
      </c>
      <c r="C62" s="10">
        <v>0.62</v>
      </c>
      <c r="D62" s="10">
        <v>1.04</v>
      </c>
      <c r="E62" s="20">
        <v>9.0034578373202168E-2</v>
      </c>
      <c r="F62" s="10">
        <v>1.1336359615081304</v>
      </c>
    </row>
    <row r="63" spans="2:16" x14ac:dyDescent="0.3">
      <c r="B63" s="6" t="s">
        <v>13</v>
      </c>
      <c r="C63" s="56"/>
      <c r="D63" s="56"/>
      <c r="E63" s="57"/>
      <c r="F63" s="56"/>
    </row>
    <row r="64" spans="2:16" ht="15" thickBot="1" x14ac:dyDescent="0.35">
      <c r="B64" s="6" t="s">
        <v>45</v>
      </c>
      <c r="C64" s="56"/>
      <c r="D64" s="56"/>
      <c r="E64" s="57"/>
      <c r="F64" s="656"/>
    </row>
    <row r="65" spans="2:6" ht="15" thickBot="1" x14ac:dyDescent="0.35">
      <c r="B65" s="14" t="s">
        <v>46</v>
      </c>
      <c r="C65" s="10">
        <v>15.469999999999999</v>
      </c>
      <c r="D65" s="11">
        <v>18.119999999999997</v>
      </c>
      <c r="E65" s="655">
        <v>2.6702564031277243E-2</v>
      </c>
      <c r="F65" s="123">
        <v>18.60385046024674</v>
      </c>
    </row>
  </sheetData>
  <mergeCells count="11">
    <mergeCell ref="B36:D36"/>
    <mergeCell ref="B37:D37"/>
    <mergeCell ref="M45:P45"/>
    <mergeCell ref="B34:C34"/>
    <mergeCell ref="B35:C35"/>
    <mergeCell ref="B32:C32"/>
    <mergeCell ref="B27:C27"/>
    <mergeCell ref="B28:C28"/>
    <mergeCell ref="B29:C29"/>
    <mergeCell ref="B30:C30"/>
    <mergeCell ref="B31:C31"/>
  </mergeCells>
  <hyperlinks>
    <hyperlink ref="J1" r:id="rId1" display="https://www.eia.gov/dnav/pet/PET_PRI_GND_DCUS_NUS_W.htm"/>
    <hyperlink ref="B1" r:id="rId2" display="https://www.eia.gov/dnav/pet/PET_PRI_GND_DCUS_NUS_W.htm"/>
    <hyperlink ref="B2" r:id="rId3"/>
  </hyperlinks>
  <pageMargins left="0.7" right="0.7" top="0.75" bottom="0.75" header="0.3" footer="0.3"/>
  <pageSetup orientation="portrait"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2:K20"/>
  <sheetViews>
    <sheetView topLeftCell="C1" workbookViewId="0">
      <selection activeCell="E21" sqref="E21"/>
    </sheetView>
  </sheetViews>
  <sheetFormatPr defaultColWidth="9.109375" defaultRowHeight="14.4" x14ac:dyDescent="0.3"/>
  <cols>
    <col min="1" max="1" width="31.33203125" style="30" customWidth="1"/>
    <col min="2" max="2" width="17.44140625" style="30" customWidth="1"/>
    <col min="3" max="3" width="19.33203125" style="30" customWidth="1"/>
    <col min="4" max="4" width="17" style="30" customWidth="1"/>
    <col min="5" max="5" width="9.109375" style="30"/>
    <col min="6" max="6" width="17.88671875" style="30" customWidth="1"/>
    <col min="7" max="7" width="25.88671875" style="30" customWidth="1"/>
    <col min="8" max="8" width="28.109375" style="30" customWidth="1"/>
    <col min="9" max="9" width="19.33203125" style="30" customWidth="1"/>
    <col min="10" max="10" width="16.5546875" style="30" customWidth="1"/>
    <col min="11" max="11" width="16.88671875" style="30" customWidth="1"/>
    <col min="12" max="16384" width="9.109375" style="30"/>
  </cols>
  <sheetData>
    <row r="2" spans="1:11" ht="41.4" x14ac:dyDescent="0.3">
      <c r="A2" s="152" t="s">
        <v>212</v>
      </c>
      <c r="F2" s="41" t="s">
        <v>211</v>
      </c>
      <c r="G2" s="42"/>
      <c r="H2" s="42"/>
      <c r="I2" s="42"/>
      <c r="J2" s="42"/>
      <c r="K2" s="42"/>
    </row>
    <row r="3" spans="1:11" x14ac:dyDescent="0.3">
      <c r="A3" s="824" t="s">
        <v>59</v>
      </c>
      <c r="B3" s="825"/>
      <c r="C3" s="825"/>
      <c r="D3" s="825"/>
      <c r="F3" s="826" t="s">
        <v>76</v>
      </c>
      <c r="G3" s="827"/>
      <c r="H3" s="827"/>
      <c r="I3" s="827"/>
      <c r="J3" s="827"/>
      <c r="K3" s="828"/>
    </row>
    <row r="4" spans="1:11" ht="55.2" x14ac:dyDescent="0.3">
      <c r="A4" s="40" t="s">
        <v>60</v>
      </c>
      <c r="B4" s="40" t="s">
        <v>5</v>
      </c>
      <c r="C4" s="40" t="s">
        <v>61</v>
      </c>
      <c r="D4" s="40" t="s">
        <v>213</v>
      </c>
      <c r="F4" s="43" t="s">
        <v>77</v>
      </c>
      <c r="G4" s="44" t="s">
        <v>78</v>
      </c>
      <c r="H4" s="44" t="s">
        <v>79</v>
      </c>
      <c r="I4" s="44" t="s">
        <v>80</v>
      </c>
      <c r="J4" s="44" t="s">
        <v>81</v>
      </c>
      <c r="K4" s="45" t="s">
        <v>193</v>
      </c>
    </row>
    <row r="5" spans="1:11" x14ac:dyDescent="0.3">
      <c r="A5" s="31" t="s">
        <v>62</v>
      </c>
      <c r="B5" s="32" t="s">
        <v>63</v>
      </c>
      <c r="C5" s="33">
        <v>3.0000000000000001E-3</v>
      </c>
      <c r="D5" s="34">
        <v>28800</v>
      </c>
      <c r="F5" s="46">
        <v>0</v>
      </c>
      <c r="G5" s="47" t="s">
        <v>82</v>
      </c>
      <c r="H5" s="47">
        <v>0.92534000000000005</v>
      </c>
      <c r="I5" s="47">
        <v>0.21537999999999999</v>
      </c>
      <c r="J5" s="47">
        <v>0.43675999999999998</v>
      </c>
      <c r="K5" s="87">
        <v>0</v>
      </c>
    </row>
    <row r="6" spans="1:11" x14ac:dyDescent="0.3">
      <c r="A6" s="31" t="s">
        <v>64</v>
      </c>
      <c r="B6" s="32" t="s">
        <v>65</v>
      </c>
      <c r="C6" s="33">
        <v>4.7E-2</v>
      </c>
      <c r="D6" s="34">
        <v>451200</v>
      </c>
      <c r="F6" s="46">
        <v>1</v>
      </c>
      <c r="G6" s="47" t="s">
        <v>63</v>
      </c>
      <c r="H6" s="47">
        <v>7.2569999999999996E-2</v>
      </c>
      <c r="I6" s="47">
        <v>0.62727999999999995</v>
      </c>
      <c r="J6" s="47">
        <v>0.41738999999999998</v>
      </c>
      <c r="K6" s="87">
        <f>D5</f>
        <v>28800</v>
      </c>
    </row>
    <row r="7" spans="1:11" x14ac:dyDescent="0.3">
      <c r="A7" s="31" t="s">
        <v>66</v>
      </c>
      <c r="B7" s="32" t="s">
        <v>67</v>
      </c>
      <c r="C7" s="33">
        <v>0.105</v>
      </c>
      <c r="D7" s="34">
        <v>1008000</v>
      </c>
      <c r="F7" s="46">
        <v>2</v>
      </c>
      <c r="G7" s="47" t="s">
        <v>65</v>
      </c>
      <c r="H7" s="47">
        <v>1.98E-3</v>
      </c>
      <c r="I7" s="47">
        <v>0.104</v>
      </c>
      <c r="J7" s="47">
        <v>8.8719999999999993E-2</v>
      </c>
      <c r="K7" s="87">
        <f t="shared" ref="K7:K10" si="0">D6</f>
        <v>451200</v>
      </c>
    </row>
    <row r="8" spans="1:11" x14ac:dyDescent="0.3">
      <c r="A8" s="31" t="s">
        <v>68</v>
      </c>
      <c r="B8" s="32" t="s">
        <v>69</v>
      </c>
      <c r="C8" s="33">
        <v>0.26600000000000001</v>
      </c>
      <c r="D8" s="34">
        <v>2553600</v>
      </c>
      <c r="F8" s="46">
        <v>3</v>
      </c>
      <c r="G8" s="47" t="s">
        <v>67</v>
      </c>
      <c r="H8" s="47">
        <v>8.0000000000000007E-5</v>
      </c>
      <c r="I8" s="47">
        <v>3.8580000000000003E-2</v>
      </c>
      <c r="J8" s="47">
        <v>4.8169999999999998E-2</v>
      </c>
      <c r="K8" s="87">
        <f t="shared" si="0"/>
        <v>1008000</v>
      </c>
    </row>
    <row r="9" spans="1:11" x14ac:dyDescent="0.3">
      <c r="A9" s="31" t="s">
        <v>70</v>
      </c>
      <c r="B9" s="32" t="s">
        <v>71</v>
      </c>
      <c r="C9" s="33">
        <v>0.59299999999999997</v>
      </c>
      <c r="D9" s="34">
        <v>5692800</v>
      </c>
      <c r="F9" s="46">
        <v>4</v>
      </c>
      <c r="G9" s="47" t="s">
        <v>69</v>
      </c>
      <c r="H9" s="47">
        <v>0</v>
      </c>
      <c r="I9" s="47">
        <v>4.4200000000000003E-3</v>
      </c>
      <c r="J9" s="47">
        <v>6.1700000000000001E-3</v>
      </c>
      <c r="K9" s="87">
        <f t="shared" si="0"/>
        <v>2553600</v>
      </c>
    </row>
    <row r="10" spans="1:11" x14ac:dyDescent="0.3">
      <c r="A10" s="31" t="s">
        <v>72</v>
      </c>
      <c r="B10" s="32" t="s">
        <v>73</v>
      </c>
      <c r="C10" s="153">
        <v>1</v>
      </c>
      <c r="D10" s="34">
        <v>9600000</v>
      </c>
      <c r="F10" s="46">
        <v>5</v>
      </c>
      <c r="G10" s="47" t="s">
        <v>71</v>
      </c>
      <c r="H10" s="47">
        <v>3.0000000000000001E-5</v>
      </c>
      <c r="I10" s="47">
        <v>1.034E-2</v>
      </c>
      <c r="J10" s="47">
        <v>2.7899999999999999E-3</v>
      </c>
      <c r="K10" s="87">
        <f t="shared" si="0"/>
        <v>5692800</v>
      </c>
    </row>
    <row r="11" spans="1:11" ht="48.75" customHeight="1" x14ac:dyDescent="0.3">
      <c r="A11" s="823" t="s">
        <v>214</v>
      </c>
      <c r="B11" s="823"/>
      <c r="C11" s="823"/>
      <c r="D11" s="823"/>
      <c r="F11" s="829" t="s">
        <v>83</v>
      </c>
      <c r="G11" s="830"/>
      <c r="H11" s="830"/>
      <c r="I11" s="830"/>
      <c r="J11" s="830"/>
      <c r="K11" s="831"/>
    </row>
    <row r="12" spans="1:11" x14ac:dyDescent="0.3">
      <c r="A12" s="36"/>
      <c r="B12" s="37"/>
      <c r="C12" s="37"/>
      <c r="D12" s="37"/>
      <c r="F12" s="46">
        <v>6</v>
      </c>
      <c r="G12" s="47" t="s">
        <v>84</v>
      </c>
      <c r="H12" s="47"/>
      <c r="I12" s="47"/>
      <c r="J12" s="47"/>
      <c r="K12" s="87">
        <f>D10</f>
        <v>9600000</v>
      </c>
    </row>
    <row r="13" spans="1:11" s="37" customFormat="1" x14ac:dyDescent="0.3">
      <c r="F13" s="832" t="s">
        <v>192</v>
      </c>
      <c r="G13" s="833"/>
      <c r="H13" s="833"/>
      <c r="I13" s="833"/>
      <c r="J13" s="833"/>
      <c r="K13" s="834"/>
    </row>
    <row r="14" spans="1:11" s="37" customFormat="1" ht="28.8" x14ac:dyDescent="0.3">
      <c r="A14" s="30"/>
      <c r="B14" s="40" t="s">
        <v>215</v>
      </c>
      <c r="C14" s="154"/>
      <c r="D14" s="30"/>
      <c r="F14" s="48" t="s">
        <v>85</v>
      </c>
      <c r="G14" s="49"/>
      <c r="H14" s="50">
        <f>H6*K6+H7*K7+H8*K8+H9*K9+H10*K10</f>
        <v>3234.8159999999998</v>
      </c>
      <c r="I14" s="49"/>
      <c r="J14" s="49"/>
      <c r="K14" s="51"/>
    </row>
    <row r="15" spans="1:11" ht="28.8" x14ac:dyDescent="0.3">
      <c r="A15" s="35" t="s">
        <v>74</v>
      </c>
      <c r="B15" s="34">
        <v>4198</v>
      </c>
      <c r="C15" s="155"/>
      <c r="F15" s="48" t="s">
        <v>86</v>
      </c>
      <c r="G15" s="49"/>
      <c r="H15" s="49"/>
      <c r="I15" s="90">
        <f>I6*K6+I7*K7+I8*K8+I9*K9+I10*K10</f>
        <v>174029.568</v>
      </c>
      <c r="J15" s="49"/>
      <c r="K15" s="51"/>
    </row>
    <row r="16" spans="1:11" ht="17.399999999999999" customHeight="1" x14ac:dyDescent="0.3">
      <c r="A16" s="30" t="s">
        <v>216</v>
      </c>
      <c r="F16" s="48" t="s">
        <v>87</v>
      </c>
      <c r="G16" s="49"/>
      <c r="H16" s="49"/>
      <c r="I16" s="49"/>
      <c r="J16" s="50">
        <f>J6*K6+J7*K7+J8*K8+J9*K9+J10*K10</f>
        <v>132245.28</v>
      </c>
      <c r="K16" s="51"/>
    </row>
    <row r="17" spans="1:11" ht="27.6" x14ac:dyDescent="0.3">
      <c r="A17" s="36"/>
      <c r="B17" s="37"/>
      <c r="C17" s="37"/>
      <c r="D17" s="37"/>
      <c r="F17" s="48" t="s">
        <v>88</v>
      </c>
      <c r="G17" s="51"/>
      <c r="H17" s="51"/>
      <c r="I17" s="51"/>
      <c r="J17" s="51"/>
      <c r="K17" s="88">
        <f>K12</f>
        <v>9600000</v>
      </c>
    </row>
    <row r="18" spans="1:11" ht="41.4" x14ac:dyDescent="0.3">
      <c r="A18" s="38"/>
      <c r="F18" s="52" t="s">
        <v>89</v>
      </c>
      <c r="G18" s="53">
        <f>B15</f>
        <v>4198</v>
      </c>
      <c r="H18" s="54" t="s">
        <v>191</v>
      </c>
      <c r="I18" s="51"/>
      <c r="J18" s="51"/>
      <c r="K18" s="89">
        <f>G18</f>
        <v>4198</v>
      </c>
    </row>
    <row r="19" spans="1:11" x14ac:dyDescent="0.3">
      <c r="A19" s="39"/>
      <c r="B19" s="39"/>
      <c r="C19" s="39"/>
      <c r="D19" s="39"/>
    </row>
    <row r="20" spans="1:11" s="39" customFormat="1" x14ac:dyDescent="0.3">
      <c r="A20" s="30"/>
      <c r="B20" s="30"/>
      <c r="C20" s="30"/>
      <c r="D20" s="30"/>
    </row>
  </sheetData>
  <mergeCells count="5">
    <mergeCell ref="A11:D11"/>
    <mergeCell ref="A3:D3"/>
    <mergeCell ref="F3:K3"/>
    <mergeCell ref="F11:K11"/>
    <mergeCell ref="F13:K13"/>
  </mergeCell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V804"/>
  <sheetViews>
    <sheetView topLeftCell="G10" zoomScale="80" zoomScaleNormal="80" workbookViewId="0">
      <selection activeCell="W23" sqref="W23"/>
    </sheetView>
  </sheetViews>
  <sheetFormatPr defaultRowHeight="14.4" x14ac:dyDescent="0.3"/>
  <cols>
    <col min="2" max="2" width="11.88671875" style="308" bestFit="1" customWidth="1"/>
    <col min="3" max="6" width="13.5546875" style="5" customWidth="1"/>
    <col min="9" max="9" width="17" customWidth="1"/>
    <col min="11" max="13" width="13.21875" style="1" customWidth="1"/>
    <col min="14" max="15" width="13.6640625" customWidth="1"/>
    <col min="16" max="16" width="17.5546875" customWidth="1"/>
    <col min="18" max="18" width="19.109375" bestFit="1" customWidth="1"/>
    <col min="20" max="20" width="11.5546875" bestFit="1" customWidth="1"/>
    <col min="21" max="21" width="13.33203125" bestFit="1" customWidth="1"/>
    <col min="22" max="22" width="14.44140625" customWidth="1"/>
  </cols>
  <sheetData>
    <row r="2" spans="2:22" x14ac:dyDescent="0.3">
      <c r="B2" s="836" t="s">
        <v>363</v>
      </c>
      <c r="C2" s="836"/>
      <c r="D2" s="836"/>
      <c r="E2" s="836"/>
      <c r="F2" s="836"/>
      <c r="I2" s="798" t="s">
        <v>375</v>
      </c>
      <c r="J2" s="798"/>
      <c r="K2" s="798"/>
      <c r="L2" s="798"/>
      <c r="M2" s="798"/>
      <c r="N2" s="798"/>
      <c r="O2" s="798"/>
      <c r="R2" s="798" t="s">
        <v>392</v>
      </c>
      <c r="S2" s="798"/>
      <c r="T2" s="798"/>
      <c r="U2" s="798"/>
    </row>
    <row r="3" spans="2:22" x14ac:dyDescent="0.3">
      <c r="B3" s="309"/>
      <c r="C3" s="835" t="s">
        <v>358</v>
      </c>
      <c r="D3" s="835"/>
      <c r="E3" s="835" t="s">
        <v>362</v>
      </c>
      <c r="F3" s="835"/>
      <c r="I3" s="330" t="s">
        <v>364</v>
      </c>
      <c r="J3" s="330" t="s">
        <v>366</v>
      </c>
      <c r="K3" s="180" t="s">
        <v>367</v>
      </c>
      <c r="L3" s="180" t="s">
        <v>224</v>
      </c>
      <c r="M3" s="180" t="s">
        <v>228</v>
      </c>
      <c r="N3" s="180" t="s">
        <v>370</v>
      </c>
      <c r="O3" s="180" t="s">
        <v>374</v>
      </c>
      <c r="P3" s="180" t="s">
        <v>395</v>
      </c>
      <c r="R3" s="330" t="s">
        <v>364</v>
      </c>
      <c r="S3" s="330" t="s">
        <v>366</v>
      </c>
      <c r="T3" s="180" t="s">
        <v>367</v>
      </c>
      <c r="U3" s="180" t="s">
        <v>374</v>
      </c>
      <c r="V3" s="180" t="s">
        <v>395</v>
      </c>
    </row>
    <row r="4" spans="2:22" x14ac:dyDescent="0.3">
      <c r="B4" s="309" t="s">
        <v>359</v>
      </c>
      <c r="C4" s="321" t="s">
        <v>360</v>
      </c>
      <c r="D4" s="321" t="s">
        <v>361</v>
      </c>
      <c r="E4" s="321" t="s">
        <v>360</v>
      </c>
      <c r="F4" s="321" t="s">
        <v>361</v>
      </c>
      <c r="I4" s="322" t="s">
        <v>365</v>
      </c>
      <c r="J4" s="199"/>
      <c r="K4" s="323"/>
      <c r="L4" s="323"/>
      <c r="M4" s="323"/>
      <c r="N4" s="199"/>
      <c r="O4" s="323"/>
      <c r="P4" s="323"/>
      <c r="R4" s="322" t="s">
        <v>393</v>
      </c>
      <c r="S4" s="199"/>
      <c r="T4" s="323"/>
      <c r="U4" s="199"/>
      <c r="V4" s="199"/>
    </row>
    <row r="5" spans="2:22" x14ac:dyDescent="0.3">
      <c r="B5" s="333">
        <v>0.1</v>
      </c>
      <c r="C5" s="334">
        <v>11.335538190956706</v>
      </c>
      <c r="D5" s="382">
        <f>1/C5</f>
        <v>8.821813161E-2</v>
      </c>
      <c r="E5" s="334">
        <v>0.32163435717474537</v>
      </c>
      <c r="F5" s="382">
        <f t="shared" ref="F5:F68" si="0">1/E5</f>
        <v>3.10912058271404</v>
      </c>
      <c r="I5" s="194"/>
      <c r="J5" s="194" t="s">
        <v>225</v>
      </c>
      <c r="K5" s="325" t="s">
        <v>0</v>
      </c>
      <c r="L5" s="176" t="e">
        <f>#REF!</f>
        <v>#REF!</v>
      </c>
      <c r="M5" s="176" t="e">
        <f>#REF!</f>
        <v>#REF!</v>
      </c>
      <c r="N5" s="386" t="e">
        <f>L5/M5</f>
        <v>#REF!</v>
      </c>
      <c r="O5" s="399">
        <v>3.5098866409999971E-2</v>
      </c>
      <c r="P5" s="176" t="e">
        <f>L5*O5</f>
        <v>#REF!</v>
      </c>
      <c r="R5" s="194"/>
      <c r="S5" s="194" t="s">
        <v>225</v>
      </c>
      <c r="T5" s="325" t="s">
        <v>0</v>
      </c>
      <c r="U5" s="399">
        <f>O22-O5</f>
        <v>-1.4475040999991501E-4</v>
      </c>
      <c r="V5" s="176" t="e">
        <f>P22-P5</f>
        <v>#REF!</v>
      </c>
    </row>
    <row r="6" spans="2:22" x14ac:dyDescent="0.3">
      <c r="B6" s="333">
        <v>0.2</v>
      </c>
      <c r="C6" s="334">
        <v>11.378981639321738</v>
      </c>
      <c r="D6" s="382">
        <f t="shared" ref="D6:D69" si="1">1/C6</f>
        <v>8.7881326440000004E-2</v>
      </c>
      <c r="E6" s="334">
        <v>0.3783511404240128</v>
      </c>
      <c r="F6" s="382">
        <f t="shared" si="0"/>
        <v>2.6430474053264756</v>
      </c>
      <c r="I6" s="194"/>
      <c r="J6" s="194" t="s">
        <v>225</v>
      </c>
      <c r="K6" s="325" t="s">
        <v>368</v>
      </c>
      <c r="L6" s="176" t="e">
        <f>#REF!</f>
        <v>#REF!</v>
      </c>
      <c r="M6" s="176" t="e">
        <f>#REF!</f>
        <v>#REF!</v>
      </c>
      <c r="N6" s="386" t="e">
        <f t="shared" ref="N6:N8" si="2">L6/M6</f>
        <v>#REF!</v>
      </c>
      <c r="O6" s="399">
        <v>3.5814598560000112E-2</v>
      </c>
      <c r="P6" s="176" t="e">
        <f t="shared" ref="P6:P8" si="3">L6*O6</f>
        <v>#REF!</v>
      </c>
      <c r="R6" s="194"/>
      <c r="S6" s="194" t="s">
        <v>225</v>
      </c>
      <c r="T6" s="325" t="s">
        <v>368</v>
      </c>
      <c r="U6" s="399">
        <f t="shared" ref="U6:V20" si="4">O23-O6</f>
        <v>5.6769327899998945E-3</v>
      </c>
      <c r="V6" s="176" t="e">
        <f t="shared" si="4"/>
        <v>#REF!</v>
      </c>
    </row>
    <row r="7" spans="2:22" x14ac:dyDescent="0.3">
      <c r="B7" s="333">
        <v>0.30000000000000004</v>
      </c>
      <c r="C7" s="334">
        <v>11.42262063615814</v>
      </c>
      <c r="D7" s="382">
        <f t="shared" si="1"/>
        <v>8.7545584490000009E-2</v>
      </c>
      <c r="E7" s="334">
        <v>0.42083340995726137</v>
      </c>
      <c r="F7" s="382">
        <f t="shared" si="0"/>
        <v>2.3762371911050435</v>
      </c>
      <c r="I7" s="194"/>
      <c r="J7" s="194" t="s">
        <v>225</v>
      </c>
      <c r="K7" s="325" t="s">
        <v>1</v>
      </c>
      <c r="L7" s="176" t="e">
        <f>#REF!</f>
        <v>#REF!</v>
      </c>
      <c r="M7" s="176" t="e">
        <f>#REF!</f>
        <v>#REF!</v>
      </c>
      <c r="N7" s="386" t="e">
        <f t="shared" si="2"/>
        <v>#REF!</v>
      </c>
      <c r="O7" s="399">
        <v>3.9230112359999965E-2</v>
      </c>
      <c r="P7" s="176" t="e">
        <f t="shared" si="3"/>
        <v>#REF!</v>
      </c>
      <c r="R7" s="194"/>
      <c r="S7" s="194" t="s">
        <v>225</v>
      </c>
      <c r="T7" s="325" t="s">
        <v>1</v>
      </c>
      <c r="U7" s="399">
        <f t="shared" si="4"/>
        <v>-4.0711135500000051E-3</v>
      </c>
      <c r="V7" s="176" t="e">
        <f t="shared" si="4"/>
        <v>#REF!</v>
      </c>
    </row>
    <row r="8" spans="2:22" x14ac:dyDescent="0.3">
      <c r="B8" s="333">
        <v>0.4</v>
      </c>
      <c r="C8" s="334">
        <v>11.466455843859132</v>
      </c>
      <c r="D8" s="382">
        <f t="shared" si="1"/>
        <v>8.7210905759999999E-2</v>
      </c>
      <c r="E8" s="334">
        <v>0.45661033580334681</v>
      </c>
      <c r="F8" s="382">
        <f t="shared" si="0"/>
        <v>2.1900511696491263</v>
      </c>
      <c r="I8" s="194"/>
      <c r="J8" s="194" t="s">
        <v>225</v>
      </c>
      <c r="K8" s="325" t="s">
        <v>369</v>
      </c>
      <c r="L8" s="176" t="e">
        <f>#REF!</f>
        <v>#REF!</v>
      </c>
      <c r="M8" s="176" t="e">
        <f>#REF!</f>
        <v>#REF!</v>
      </c>
      <c r="N8" s="386" t="e">
        <f t="shared" si="2"/>
        <v>#REF!</v>
      </c>
      <c r="O8" s="399">
        <v>4.6378553350000129E-2</v>
      </c>
      <c r="P8" s="176" t="e">
        <f t="shared" si="3"/>
        <v>#REF!</v>
      </c>
      <c r="R8" s="194"/>
      <c r="S8" s="194" t="s">
        <v>225</v>
      </c>
      <c r="T8" s="325" t="s">
        <v>369</v>
      </c>
      <c r="U8" s="399">
        <f t="shared" si="4"/>
        <v>3.8376825000002029E-4</v>
      </c>
      <c r="V8" s="176" t="e">
        <f t="shared" si="4"/>
        <v>#REF!</v>
      </c>
    </row>
    <row r="9" spans="2:22" x14ac:dyDescent="0.3">
      <c r="B9" s="333">
        <v>0.5</v>
      </c>
      <c r="C9" s="334">
        <v>11.510487920633551</v>
      </c>
      <c r="D9" s="382">
        <f t="shared" si="1"/>
        <v>8.6877290250000003E-2</v>
      </c>
      <c r="E9" s="334">
        <v>0.48836340975922776</v>
      </c>
      <c r="F9" s="382">
        <f t="shared" si="0"/>
        <v>2.0476554549674773</v>
      </c>
      <c r="I9" s="198"/>
      <c r="J9" s="198" t="s">
        <v>226</v>
      </c>
      <c r="K9" s="324" t="s">
        <v>0</v>
      </c>
      <c r="L9" s="177" t="e">
        <f>#REF!</f>
        <v>#REF!</v>
      </c>
      <c r="M9" s="177" t="e">
        <f>#REF!</f>
        <v>#REF!</v>
      </c>
      <c r="N9" s="387" t="e">
        <f>L9/M9</f>
        <v>#REF!</v>
      </c>
      <c r="O9" s="400">
        <v>3.9529233689999957E-2</v>
      </c>
      <c r="P9" s="177" t="e">
        <f>L9*O9</f>
        <v>#REF!</v>
      </c>
      <c r="R9" s="198"/>
      <c r="S9" s="198" t="s">
        <v>226</v>
      </c>
      <c r="T9" s="324" t="s">
        <v>0</v>
      </c>
      <c r="U9" s="400">
        <f t="shared" si="4"/>
        <v>-3.736072E-3</v>
      </c>
      <c r="V9" s="177" t="e">
        <f t="shared" si="4"/>
        <v>#REF!</v>
      </c>
    </row>
    <row r="10" spans="2:22" x14ac:dyDescent="0.3">
      <c r="B10" s="333">
        <v>0.6</v>
      </c>
      <c r="C10" s="334">
        <v>11.554717520344088</v>
      </c>
      <c r="D10" s="382">
        <f t="shared" si="1"/>
        <v>8.6544737959999993E-2</v>
      </c>
      <c r="E10" s="334">
        <v>0.51739563159936119</v>
      </c>
      <c r="F10" s="382">
        <f t="shared" si="0"/>
        <v>1.9327569444466</v>
      </c>
      <c r="I10" s="198"/>
      <c r="J10" s="198" t="s">
        <v>226</v>
      </c>
      <c r="K10" s="324" t="s">
        <v>368</v>
      </c>
      <c r="L10" s="177" t="e">
        <f>#REF!</f>
        <v>#REF!</v>
      </c>
      <c r="M10" s="177" t="e">
        <f>#REF!</f>
        <v>#REF!</v>
      </c>
      <c r="N10" s="387" t="e">
        <f t="shared" ref="N10:N12" si="5">L10/M10</f>
        <v>#REF!</v>
      </c>
      <c r="O10" s="400">
        <v>3.5965219290000121E-2</v>
      </c>
      <c r="P10" s="177" t="e">
        <f t="shared" ref="P10:P12" si="6">L10*O10</f>
        <v>#REF!</v>
      </c>
      <c r="R10" s="198"/>
      <c r="S10" s="198" t="s">
        <v>226</v>
      </c>
      <c r="T10" s="324" t="s">
        <v>368</v>
      </c>
      <c r="U10" s="400">
        <f t="shared" si="4"/>
        <v>5.545328859999886E-3</v>
      </c>
      <c r="V10" s="177" t="e">
        <f t="shared" si="4"/>
        <v>#REF!</v>
      </c>
    </row>
    <row r="11" spans="2:22" x14ac:dyDescent="0.3">
      <c r="B11" s="333">
        <v>0.7</v>
      </c>
      <c r="C11" s="334">
        <v>11.599145292342548</v>
      </c>
      <c r="D11" s="382">
        <f t="shared" si="1"/>
        <v>8.621324889000001E-2</v>
      </c>
      <c r="E11" s="334">
        <v>0.54445047961335447</v>
      </c>
      <c r="F11" s="382">
        <f t="shared" si="0"/>
        <v>1.8367143338915917</v>
      </c>
      <c r="I11" s="198"/>
      <c r="J11" s="198" t="s">
        <v>226</v>
      </c>
      <c r="K11" s="324" t="s">
        <v>1</v>
      </c>
      <c r="L11" s="177" t="e">
        <f>#REF!</f>
        <v>#REF!</v>
      </c>
      <c r="M11" s="177" t="e">
        <f>#REF!</f>
        <v>#REF!</v>
      </c>
      <c r="N11" s="387" t="e">
        <f t="shared" si="5"/>
        <v>#REF!</v>
      </c>
      <c r="O11" s="400">
        <v>4.3865070090000007E-2</v>
      </c>
      <c r="P11" s="177" t="e">
        <f t="shared" si="6"/>
        <v>#REF!</v>
      </c>
      <c r="R11" s="198"/>
      <c r="S11" s="198" t="s">
        <v>226</v>
      </c>
      <c r="T11" s="324" t="s">
        <v>1</v>
      </c>
      <c r="U11" s="400">
        <f t="shared" si="4"/>
        <v>-6.8265086500000627E-3</v>
      </c>
      <c r="V11" s="177" t="e">
        <f t="shared" si="4"/>
        <v>#REF!</v>
      </c>
    </row>
    <row r="12" spans="2:22" x14ac:dyDescent="0.3">
      <c r="B12" s="333">
        <v>0.79999999999999993</v>
      </c>
      <c r="C12" s="334">
        <v>11.643771881302147</v>
      </c>
      <c r="D12" s="382">
        <f t="shared" si="1"/>
        <v>8.5882823039999986E-2</v>
      </c>
      <c r="E12" s="334">
        <v>0.56999696305772041</v>
      </c>
      <c r="F12" s="382">
        <f t="shared" si="0"/>
        <v>1.754395312275963</v>
      </c>
      <c r="I12" s="198"/>
      <c r="J12" s="198" t="s">
        <v>226</v>
      </c>
      <c r="K12" s="324" t="s">
        <v>369</v>
      </c>
      <c r="L12" s="177" t="e">
        <f>#REF!</f>
        <v>#REF!</v>
      </c>
      <c r="M12" s="177" t="e">
        <f>#REF!</f>
        <v>#REF!</v>
      </c>
      <c r="N12" s="387" t="e">
        <f t="shared" si="5"/>
        <v>#REF!</v>
      </c>
      <c r="O12" s="400">
        <v>4.6009092600000134E-2</v>
      </c>
      <c r="P12" s="177" t="e">
        <f t="shared" si="6"/>
        <v>#REF!</v>
      </c>
      <c r="R12" s="198"/>
      <c r="S12" s="198" t="s">
        <v>226</v>
      </c>
      <c r="T12" s="324" t="s">
        <v>369</v>
      </c>
      <c r="U12" s="400">
        <f t="shared" si="4"/>
        <v>4.4506980000001001E-4</v>
      </c>
      <c r="V12" s="177" t="e">
        <f t="shared" si="4"/>
        <v>#REF!</v>
      </c>
    </row>
    <row r="13" spans="2:22" x14ac:dyDescent="0.3">
      <c r="B13" s="333">
        <v>0.89999999999999991</v>
      </c>
      <c r="C13" s="334">
        <v>11.688597927046725</v>
      </c>
      <c r="D13" s="382">
        <f t="shared" si="1"/>
        <v>8.555346040999999E-2</v>
      </c>
      <c r="E13" s="334">
        <v>0.59435214627875899</v>
      </c>
      <c r="F13" s="382">
        <f t="shared" si="0"/>
        <v>1.6825042296238075</v>
      </c>
      <c r="I13" s="194"/>
      <c r="J13" s="194" t="s">
        <v>227</v>
      </c>
      <c r="K13" s="325" t="s">
        <v>0</v>
      </c>
      <c r="L13" s="176" t="e">
        <f>#REF!</f>
        <v>#REF!</v>
      </c>
      <c r="M13" s="176" t="e">
        <f>#REF!</f>
        <v>#REF!</v>
      </c>
      <c r="N13" s="386" t="e">
        <f>L13/M13</f>
        <v>#REF!</v>
      </c>
      <c r="O13" s="399">
        <v>3.5042986889999961E-2</v>
      </c>
      <c r="P13" s="176" t="e">
        <f>L13*O13</f>
        <v>#REF!</v>
      </c>
      <c r="R13" s="194"/>
      <c r="S13" s="194" t="s">
        <v>227</v>
      </c>
      <c r="T13" s="325" t="s">
        <v>0</v>
      </c>
      <c r="U13" s="399">
        <f t="shared" si="4"/>
        <v>1.2014070000086752E-5</v>
      </c>
      <c r="V13" s="176" t="e">
        <f t="shared" si="4"/>
        <v>#REF!</v>
      </c>
    </row>
    <row r="14" spans="2:22" x14ac:dyDescent="0.3">
      <c r="B14" s="333">
        <v>1</v>
      </c>
      <c r="C14" s="334">
        <v>11.733624064376951</v>
      </c>
      <c r="D14" s="382">
        <f t="shared" si="1"/>
        <v>8.5225161000000008E-2</v>
      </c>
      <c r="E14" s="334">
        <v>0.61774153694094391</v>
      </c>
      <c r="F14" s="382">
        <f t="shared" si="0"/>
        <v>1.6188</v>
      </c>
      <c r="I14" s="194"/>
      <c r="J14" s="194" t="s">
        <v>227</v>
      </c>
      <c r="K14" s="325" t="s">
        <v>368</v>
      </c>
      <c r="L14" s="176" t="e">
        <f>#REF!</f>
        <v>#REF!</v>
      </c>
      <c r="M14" s="176" t="e">
        <f>#REF!</f>
        <v>#REF!</v>
      </c>
      <c r="N14" s="386" t="e">
        <f t="shared" ref="N14:N16" si="7">L14/M14</f>
        <v>#REF!</v>
      </c>
      <c r="O14" s="399">
        <v>3.5814598560000112E-2</v>
      </c>
      <c r="P14" s="176" t="e">
        <f t="shared" ref="P14:P16" si="8">L14*O14</f>
        <v>#REF!</v>
      </c>
      <c r="R14" s="194"/>
      <c r="S14" s="194" t="s">
        <v>227</v>
      </c>
      <c r="T14" s="325" t="s">
        <v>368</v>
      </c>
      <c r="U14" s="399">
        <f t="shared" si="4"/>
        <v>5.6682828399998858E-3</v>
      </c>
      <c r="V14" s="176" t="e">
        <f t="shared" si="4"/>
        <v>#REF!</v>
      </c>
    </row>
    <row r="15" spans="2:22" x14ac:dyDescent="0.3">
      <c r="B15" s="335">
        <v>1.1000000000000001</v>
      </c>
      <c r="C15" s="336">
        <v>11.778850922893364</v>
      </c>
      <c r="D15" s="383">
        <f t="shared" si="1"/>
        <v>8.4897924810000011E-2</v>
      </c>
      <c r="E15" s="336">
        <v>0.64033188531805163</v>
      </c>
      <c r="F15" s="383">
        <f t="shared" si="0"/>
        <v>1.5616901530732019</v>
      </c>
      <c r="I15" s="194"/>
      <c r="J15" s="194" t="s">
        <v>227</v>
      </c>
      <c r="K15" s="325" t="s">
        <v>1</v>
      </c>
      <c r="L15" s="176" t="e">
        <f>#REF!</f>
        <v>#REF!</v>
      </c>
      <c r="M15" s="176" t="e">
        <f>#REF!</f>
        <v>#REF!</v>
      </c>
      <c r="N15" s="386" t="e">
        <f t="shared" si="7"/>
        <v>#REF!</v>
      </c>
      <c r="O15" s="399">
        <v>3.8940560009999958E-2</v>
      </c>
      <c r="P15" s="176" t="e">
        <f t="shared" si="8"/>
        <v>#REF!</v>
      </c>
      <c r="R15" s="194"/>
      <c r="S15" s="194" t="s">
        <v>227</v>
      </c>
      <c r="T15" s="325" t="s">
        <v>1</v>
      </c>
      <c r="U15" s="399">
        <f t="shared" si="4"/>
        <v>-3.8416935999999874E-3</v>
      </c>
      <c r="V15" s="176" t="e">
        <f t="shared" si="4"/>
        <v>#REF!</v>
      </c>
    </row>
    <row r="16" spans="2:22" x14ac:dyDescent="0.3">
      <c r="B16" s="335">
        <v>1.2</v>
      </c>
      <c r="C16" s="336">
        <v>11.8242791268163</v>
      </c>
      <c r="D16" s="383">
        <f t="shared" si="1"/>
        <v>8.4571751840000001E-2</v>
      </c>
      <c r="E16" s="336">
        <v>0.66225034688011508</v>
      </c>
      <c r="F16" s="383">
        <f t="shared" si="0"/>
        <v>1.5100029840845468</v>
      </c>
      <c r="I16" s="194"/>
      <c r="J16" s="194" t="s">
        <v>227</v>
      </c>
      <c r="K16" s="325" t="s">
        <v>369</v>
      </c>
      <c r="L16" s="176" t="e">
        <f>#REF!</f>
        <v>#REF!</v>
      </c>
      <c r="M16" s="176" t="e">
        <f>#REF!</f>
        <v>#REF!</v>
      </c>
      <c r="N16" s="386" t="e">
        <f t="shared" si="7"/>
        <v>#REF!</v>
      </c>
      <c r="O16" s="399">
        <v>4.622905215000013E-2</v>
      </c>
      <c r="P16" s="176" t="e">
        <f t="shared" si="8"/>
        <v>#REF!</v>
      </c>
      <c r="R16" s="194"/>
      <c r="S16" s="194" t="s">
        <v>227</v>
      </c>
      <c r="T16" s="325" t="s">
        <v>369</v>
      </c>
      <c r="U16" s="399">
        <f t="shared" si="4"/>
        <v>4.5537120000001263E-4</v>
      </c>
      <c r="V16" s="176" t="e">
        <f t="shared" si="4"/>
        <v>#REF!</v>
      </c>
    </row>
    <row r="17" spans="2:22" x14ac:dyDescent="0.3">
      <c r="B17" s="335">
        <v>1.3</v>
      </c>
      <c r="C17" s="336">
        <v>11.869909294802611</v>
      </c>
      <c r="D17" s="383">
        <f t="shared" si="1"/>
        <v>8.4246642090000018E-2</v>
      </c>
      <c r="E17" s="336">
        <v>0.68359633419600319</v>
      </c>
      <c r="F17" s="383">
        <f t="shared" si="0"/>
        <v>1.4628516128251741</v>
      </c>
      <c r="I17" s="198"/>
      <c r="J17" s="198" t="s">
        <v>4</v>
      </c>
      <c r="K17" s="324" t="s">
        <v>0</v>
      </c>
      <c r="L17" s="177" t="e">
        <f>#REF!</f>
        <v>#REF!</v>
      </c>
      <c r="M17" s="177" t="e">
        <f>#REF!</f>
        <v>#REF!</v>
      </c>
      <c r="N17" s="387" t="e">
        <f>L17/M17</f>
        <v>#REF!</v>
      </c>
      <c r="O17" s="400">
        <v>0.28125592473097116</v>
      </c>
      <c r="P17" s="177" t="e">
        <f>L17*O17</f>
        <v>#REF!</v>
      </c>
      <c r="R17" s="198"/>
      <c r="S17" s="198" t="s">
        <v>4</v>
      </c>
      <c r="T17" s="324" t="s">
        <v>0</v>
      </c>
      <c r="U17" s="400">
        <f t="shared" si="4"/>
        <v>3.7784578419741699E-4</v>
      </c>
      <c r="V17" s="177" t="e">
        <f t="shared" si="4"/>
        <v>#REF!</v>
      </c>
    </row>
    <row r="18" spans="2:22" x14ac:dyDescent="0.3">
      <c r="B18" s="335">
        <v>1.4</v>
      </c>
      <c r="C18" s="336">
        <v>11.915742039759191</v>
      </c>
      <c r="D18" s="383">
        <f t="shared" si="1"/>
        <v>8.3922595559999993E-2</v>
      </c>
      <c r="E18" s="336">
        <v>0.70444919097593262</v>
      </c>
      <c r="F18" s="383">
        <f t="shared" si="0"/>
        <v>1.4195487947322589</v>
      </c>
      <c r="I18" s="198"/>
      <c r="J18" s="198" t="s">
        <v>4</v>
      </c>
      <c r="K18" s="324" t="s">
        <v>368</v>
      </c>
      <c r="L18" s="177" t="e">
        <f>#REF!</f>
        <v>#REF!</v>
      </c>
      <c r="M18" s="177" t="e">
        <f>#REF!</f>
        <v>#REF!</v>
      </c>
      <c r="N18" s="387" t="e">
        <f t="shared" ref="N18:N20" si="9">L18/M18</f>
        <v>#REF!</v>
      </c>
      <c r="O18" s="400">
        <v>0.34495377710882258</v>
      </c>
      <c r="P18" s="177" t="e">
        <f t="shared" ref="P18:P20" si="10">L18*O18</f>
        <v>#REF!</v>
      </c>
      <c r="R18" s="198"/>
      <c r="S18" s="198" t="s">
        <v>4</v>
      </c>
      <c r="T18" s="324" t="s">
        <v>368</v>
      </c>
      <c r="U18" s="400">
        <f t="shared" si="4"/>
        <v>7.944868661927118E-4</v>
      </c>
      <c r="V18" s="177" t="e">
        <f t="shared" si="4"/>
        <v>#REF!</v>
      </c>
    </row>
    <row r="19" spans="2:22" x14ac:dyDescent="0.3">
      <c r="B19" s="335">
        <v>1.5</v>
      </c>
      <c r="C19" s="336">
        <v>11.961777968653198</v>
      </c>
      <c r="D19" s="383">
        <f t="shared" si="1"/>
        <v>8.3599612249999997E-2</v>
      </c>
      <c r="E19" s="336">
        <v>0.72487335190636082</v>
      </c>
      <c r="F19" s="383">
        <f t="shared" si="0"/>
        <v>1.3795513345470314</v>
      </c>
      <c r="I19" s="198"/>
      <c r="J19" s="198" t="s">
        <v>4</v>
      </c>
      <c r="K19" s="324" t="s">
        <v>1</v>
      </c>
      <c r="L19" s="177" t="e">
        <f>#REF!</f>
        <v>#REF!</v>
      </c>
      <c r="M19" s="177" t="e">
        <f>#REF!</f>
        <v>#REF!</v>
      </c>
      <c r="N19" s="387" t="e">
        <f t="shared" si="9"/>
        <v>#REF!</v>
      </c>
      <c r="O19" s="400">
        <v>0.2716176544608922</v>
      </c>
      <c r="P19" s="177" t="e">
        <f t="shared" si="10"/>
        <v>#REF!</v>
      </c>
      <c r="R19" s="198"/>
      <c r="S19" s="198" t="s">
        <v>4</v>
      </c>
      <c r="T19" s="324" t="s">
        <v>1</v>
      </c>
      <c r="U19" s="400">
        <f t="shared" si="4"/>
        <v>1.88235102285772E-4</v>
      </c>
      <c r="V19" s="177" t="e">
        <f t="shared" si="4"/>
        <v>#REF!</v>
      </c>
    </row>
    <row r="20" spans="2:22" x14ac:dyDescent="0.3">
      <c r="B20" s="335">
        <v>1.6</v>
      </c>
      <c r="C20" s="336">
        <v>12.00801768231902</v>
      </c>
      <c r="D20" s="383">
        <f t="shared" si="1"/>
        <v>8.327769216E-2</v>
      </c>
      <c r="E20" s="336">
        <v>0.74492192335764762</v>
      </c>
      <c r="F20" s="383">
        <f t="shared" si="0"/>
        <v>1.3424225662370333</v>
      </c>
      <c r="I20" s="198"/>
      <c r="J20" s="198" t="s">
        <v>4</v>
      </c>
      <c r="K20" s="324" t="s">
        <v>369</v>
      </c>
      <c r="L20" s="177" t="e">
        <f>#REF!</f>
        <v>#REF!</v>
      </c>
      <c r="M20" s="177" t="e">
        <f>#REF!</f>
        <v>#REF!</v>
      </c>
      <c r="N20" s="387" t="e">
        <f t="shared" si="9"/>
        <v>#REF!</v>
      </c>
      <c r="O20" s="400">
        <v>0.56771882500602155</v>
      </c>
      <c r="P20" s="177" t="e">
        <f t="shared" si="10"/>
        <v>#REF!</v>
      </c>
      <c r="R20" s="198"/>
      <c r="S20" s="198" t="s">
        <v>4</v>
      </c>
      <c r="T20" s="324" t="s">
        <v>369</v>
      </c>
      <c r="U20" s="400">
        <f t="shared" si="4"/>
        <v>1.2875106215941567E-3</v>
      </c>
      <c r="V20" s="177" t="e">
        <f t="shared" si="4"/>
        <v>#REF!</v>
      </c>
    </row>
    <row r="21" spans="2:22" x14ac:dyDescent="0.3">
      <c r="B21" s="335">
        <v>1.7</v>
      </c>
      <c r="C21" s="336">
        <v>12.054461775261872</v>
      </c>
      <c r="D21" s="383">
        <f t="shared" si="1"/>
        <v>8.2956835289999989E-2</v>
      </c>
      <c r="E21" s="336">
        <v>0.76463923592661864</v>
      </c>
      <c r="F21" s="383">
        <f t="shared" si="0"/>
        <v>1.3078062869585318</v>
      </c>
      <c r="I21" s="322" t="s">
        <v>371</v>
      </c>
      <c r="J21" s="199"/>
      <c r="K21" s="323"/>
      <c r="L21" s="323"/>
      <c r="M21" s="323"/>
      <c r="N21" s="199"/>
      <c r="O21" s="401"/>
      <c r="P21" s="323"/>
      <c r="R21" s="322" t="s">
        <v>394</v>
      </c>
      <c r="S21" s="199"/>
      <c r="T21" s="323"/>
      <c r="U21" s="401"/>
      <c r="V21" s="200"/>
    </row>
    <row r="22" spans="2:22" x14ac:dyDescent="0.3">
      <c r="B22" s="335">
        <v>1.8</v>
      </c>
      <c r="C22" s="336">
        <v>12.101110835458027</v>
      </c>
      <c r="D22" s="383">
        <f t="shared" si="1"/>
        <v>8.2637041639999992E-2</v>
      </c>
      <c r="E22" s="336">
        <v>0.78406270665039357</v>
      </c>
      <c r="F22" s="383">
        <f t="shared" si="0"/>
        <v>1.2754081931432697</v>
      </c>
      <c r="I22" s="326"/>
      <c r="J22" s="326" t="s">
        <v>225</v>
      </c>
      <c r="K22" s="327" t="s">
        <v>0</v>
      </c>
      <c r="L22" s="341" t="e">
        <f>#REF!</f>
        <v>#REF!</v>
      </c>
      <c r="M22" s="341" t="e">
        <f>#REF!</f>
        <v>#REF!</v>
      </c>
      <c r="N22" s="389" t="e">
        <f>L22/M22</f>
        <v>#REF!</v>
      </c>
      <c r="O22" s="402">
        <v>3.4954116000000056E-2</v>
      </c>
      <c r="P22" s="341" t="e">
        <f>L22*O22</f>
        <v>#REF!</v>
      </c>
      <c r="R22" s="326"/>
      <c r="S22" s="326" t="s">
        <v>225</v>
      </c>
      <c r="T22" s="327" t="s">
        <v>0</v>
      </c>
      <c r="U22" s="402">
        <f>O56-O39</f>
        <v>-1.9197168000000681E-4</v>
      </c>
      <c r="V22" s="341" t="e">
        <f>P56-P39</f>
        <v>#REF!</v>
      </c>
    </row>
    <row r="23" spans="2:22" x14ac:dyDescent="0.3">
      <c r="B23" s="335">
        <v>1.9</v>
      </c>
      <c r="C23" s="336">
        <v>12.147965444151634</v>
      </c>
      <c r="D23" s="383">
        <f t="shared" si="1"/>
        <v>8.2318311209999995E-2</v>
      </c>
      <c r="E23" s="336">
        <v>0.80322422524297865</v>
      </c>
      <c r="F23" s="383">
        <f t="shared" si="0"/>
        <v>1.244982370517393</v>
      </c>
      <c r="I23" s="326"/>
      <c r="J23" s="326" t="s">
        <v>225</v>
      </c>
      <c r="K23" s="327" t="s">
        <v>368</v>
      </c>
      <c r="L23" s="341" t="e">
        <f>#REF!</f>
        <v>#REF!</v>
      </c>
      <c r="M23" s="341" t="e">
        <f>#REF!</f>
        <v>#REF!</v>
      </c>
      <c r="N23" s="389" t="e">
        <f t="shared" ref="N23:N25" si="11">L23/M23</f>
        <v>#REF!</v>
      </c>
      <c r="O23" s="402">
        <v>4.1491531350000006E-2</v>
      </c>
      <c r="P23" s="341" t="e">
        <f t="shared" ref="P23:P25" si="12">L23*O23</f>
        <v>#REF!</v>
      </c>
      <c r="R23" s="326"/>
      <c r="S23" s="326" t="s">
        <v>225</v>
      </c>
      <c r="T23" s="327" t="s">
        <v>368</v>
      </c>
      <c r="U23" s="402">
        <f t="shared" ref="U23:V37" si="13">O57-O40</f>
        <v>-7.2069699999996462E-6</v>
      </c>
      <c r="V23" s="341" t="e">
        <f t="shared" si="13"/>
        <v>#REF!</v>
      </c>
    </row>
    <row r="24" spans="2:22" x14ac:dyDescent="0.3">
      <c r="B24" s="335">
        <v>2</v>
      </c>
      <c r="C24" s="336">
        <v>12.195026175648085</v>
      </c>
      <c r="D24" s="383">
        <f t="shared" si="1"/>
        <v>8.2000643999999998E-2</v>
      </c>
      <c r="E24" s="336">
        <v>0.8221512044455892</v>
      </c>
      <c r="F24" s="383">
        <f t="shared" si="0"/>
        <v>1.2163212734990052</v>
      </c>
      <c r="I24" s="326"/>
      <c r="J24" s="326" t="s">
        <v>225</v>
      </c>
      <c r="K24" s="327" t="s">
        <v>1</v>
      </c>
      <c r="L24" s="341" t="e">
        <f>#REF!</f>
        <v>#REF!</v>
      </c>
      <c r="M24" s="341" t="e">
        <f>#REF!</f>
        <v>#REF!</v>
      </c>
      <c r="N24" s="389" t="e">
        <f t="shared" si="11"/>
        <v>#REF!</v>
      </c>
      <c r="O24" s="402">
        <v>3.515899880999996E-2</v>
      </c>
      <c r="P24" s="341" t="e">
        <f t="shared" si="12"/>
        <v>#REF!</v>
      </c>
      <c r="R24" s="326"/>
      <c r="S24" s="326" t="s">
        <v>225</v>
      </c>
      <c r="T24" s="327" t="s">
        <v>1</v>
      </c>
      <c r="U24" s="402">
        <f t="shared" si="13"/>
        <v>-2.6639708000000817E-4</v>
      </c>
      <c r="V24" s="341" t="e">
        <f t="shared" si="13"/>
        <v>#REF!</v>
      </c>
    </row>
    <row r="25" spans="2:22" x14ac:dyDescent="0.3">
      <c r="B25" s="333">
        <v>2.1</v>
      </c>
      <c r="C25" s="334">
        <v>12.242293597103879</v>
      </c>
      <c r="D25" s="382">
        <f t="shared" si="1"/>
        <v>8.1684040009999986E-2</v>
      </c>
      <c r="E25" s="334">
        <v>0.84086738845426279</v>
      </c>
      <c r="F25" s="382">
        <f t="shared" si="0"/>
        <v>1.18924816651323</v>
      </c>
      <c r="I25" s="326"/>
      <c r="J25" s="326" t="s">
        <v>225</v>
      </c>
      <c r="K25" s="327" t="s">
        <v>369</v>
      </c>
      <c r="L25" s="341" t="e">
        <f>#REF!</f>
        <v>#REF!</v>
      </c>
      <c r="M25" s="341" t="e">
        <f>#REF!</f>
        <v>#REF!</v>
      </c>
      <c r="N25" s="389" t="e">
        <f t="shared" si="11"/>
        <v>#REF!</v>
      </c>
      <c r="O25" s="402">
        <v>4.6762321600000149E-2</v>
      </c>
      <c r="P25" s="341" t="e">
        <f t="shared" si="12"/>
        <v>#REF!</v>
      </c>
      <c r="R25" s="390"/>
      <c r="S25" s="390" t="s">
        <v>225</v>
      </c>
      <c r="T25" s="391" t="s">
        <v>369</v>
      </c>
      <c r="U25" s="404">
        <f t="shared" si="13"/>
        <v>7.2175250000021396E-5</v>
      </c>
      <c r="V25" s="405" t="e">
        <f t="shared" si="13"/>
        <v>#REF!</v>
      </c>
    </row>
    <row r="26" spans="2:22" x14ac:dyDescent="0.3">
      <c r="B26" s="333">
        <v>2.2000000000000002</v>
      </c>
      <c r="C26" s="334">
        <v>12.289768268312971</v>
      </c>
      <c r="D26" s="382">
        <f t="shared" si="1"/>
        <v>8.1368499239999989E-2</v>
      </c>
      <c r="E26" s="334">
        <v>0.85939348391007153</v>
      </c>
      <c r="F26" s="382">
        <f t="shared" si="0"/>
        <v>1.1636113360438765</v>
      </c>
      <c r="I26" s="328"/>
      <c r="J26" s="328" t="s">
        <v>226</v>
      </c>
      <c r="K26" s="329" t="s">
        <v>0</v>
      </c>
      <c r="L26" s="342" t="e">
        <f>#REF!</f>
        <v>#REF!</v>
      </c>
      <c r="M26" s="342" t="e">
        <f>#REF!</f>
        <v>#REF!</v>
      </c>
      <c r="N26" s="388" t="e">
        <f>L26/M26</f>
        <v>#REF!</v>
      </c>
      <c r="O26" s="403">
        <v>3.5793161689999957E-2</v>
      </c>
      <c r="P26" s="342" t="e">
        <f>L26*O26</f>
        <v>#REF!</v>
      </c>
      <c r="R26" s="328"/>
      <c r="S26" s="328" t="s">
        <v>226</v>
      </c>
      <c r="T26" s="329" t="s">
        <v>0</v>
      </c>
      <c r="U26" s="403">
        <f t="shared" si="13"/>
        <v>-3.3656959999998903E-4</v>
      </c>
      <c r="V26" s="342" t="e">
        <f t="shared" si="13"/>
        <v>#REF!</v>
      </c>
    </row>
    <row r="27" spans="2:22" x14ac:dyDescent="0.3">
      <c r="B27" s="333">
        <v>2.2999999999999998</v>
      </c>
      <c r="C27" s="334">
        <v>12.337450741489546</v>
      </c>
      <c r="D27" s="382">
        <f t="shared" si="1"/>
        <v>8.1054021689999978E-2</v>
      </c>
      <c r="E27" s="334">
        <v>0.87774765861883119</v>
      </c>
      <c r="F27" s="382">
        <f t="shared" si="0"/>
        <v>1.139279598391111</v>
      </c>
      <c r="I27" s="328"/>
      <c r="J27" s="328" t="s">
        <v>226</v>
      </c>
      <c r="K27" s="329" t="s">
        <v>368</v>
      </c>
      <c r="L27" s="342" t="e">
        <f>#REF!</f>
        <v>#REF!</v>
      </c>
      <c r="M27" s="342" t="e">
        <f>#REF!</f>
        <v>#REF!</v>
      </c>
      <c r="N27" s="388" t="e">
        <f t="shared" ref="N27:N29" si="14">L27/M27</f>
        <v>#REF!</v>
      </c>
      <c r="O27" s="403">
        <v>4.1510548150000007E-2</v>
      </c>
      <c r="P27" s="342" t="e">
        <f t="shared" ref="P27:P29" si="15">L27*O27</f>
        <v>#REF!</v>
      </c>
      <c r="R27" s="328"/>
      <c r="S27" s="328" t="s">
        <v>226</v>
      </c>
      <c r="T27" s="329" t="s">
        <v>368</v>
      </c>
      <c r="U27" s="403">
        <f t="shared" si="13"/>
        <v>-6.1437500000066647E-6</v>
      </c>
      <c r="V27" s="342" t="e">
        <f t="shared" si="13"/>
        <v>#REF!</v>
      </c>
    </row>
    <row r="28" spans="2:22" x14ac:dyDescent="0.3">
      <c r="B28" s="333">
        <v>2.4</v>
      </c>
      <c r="C28" s="334">
        <v>12.385341561047182</v>
      </c>
      <c r="D28" s="382">
        <f t="shared" si="1"/>
        <v>8.0740607359999994E-2</v>
      </c>
      <c r="E28" s="334">
        <v>0.89594594021963048</v>
      </c>
      <c r="F28" s="382">
        <f t="shared" si="0"/>
        <v>1.1161387703312344</v>
      </c>
      <c r="I28" s="328"/>
      <c r="J28" s="328" t="s">
        <v>226</v>
      </c>
      <c r="K28" s="329" t="s">
        <v>1</v>
      </c>
      <c r="L28" s="342" t="e">
        <f>#REF!</f>
        <v>#REF!</v>
      </c>
      <c r="M28" s="342" t="e">
        <f>#REF!</f>
        <v>#REF!</v>
      </c>
      <c r="N28" s="388" t="e">
        <f t="shared" si="14"/>
        <v>#REF!</v>
      </c>
      <c r="O28" s="403">
        <v>3.7038561439999944E-2</v>
      </c>
      <c r="P28" s="342" t="e">
        <f t="shared" si="15"/>
        <v>#REF!</v>
      </c>
      <c r="R28" s="328"/>
      <c r="S28" s="328" t="s">
        <v>226</v>
      </c>
      <c r="T28" s="329" t="s">
        <v>1</v>
      </c>
      <c r="U28" s="403">
        <f t="shared" si="13"/>
        <v>-1.7094285000000126E-4</v>
      </c>
      <c r="V28" s="342" t="e">
        <f t="shared" si="13"/>
        <v>#REF!</v>
      </c>
    </row>
    <row r="29" spans="2:22" x14ac:dyDescent="0.3">
      <c r="B29" s="333">
        <v>2.5</v>
      </c>
      <c r="C29" s="334">
        <v>12.433441263374402</v>
      </c>
      <c r="D29" s="382">
        <f t="shared" si="1"/>
        <v>8.0428256249999996E-2</v>
      </c>
      <c r="E29" s="334">
        <v>0.91400253816720856</v>
      </c>
      <c r="F29" s="382">
        <f t="shared" si="0"/>
        <v>1.094088865448051</v>
      </c>
      <c r="I29" s="328"/>
      <c r="J29" s="328" t="s">
        <v>226</v>
      </c>
      <c r="K29" s="329" t="s">
        <v>369</v>
      </c>
      <c r="L29" s="342" t="e">
        <f>#REF!</f>
        <v>#REF!</v>
      </c>
      <c r="M29" s="342" t="e">
        <f>#REF!</f>
        <v>#REF!</v>
      </c>
      <c r="N29" s="388" t="e">
        <f t="shared" si="14"/>
        <v>#REF!</v>
      </c>
      <c r="O29" s="403">
        <v>4.6454162400000144E-2</v>
      </c>
      <c r="P29" s="342" t="e">
        <f t="shared" si="15"/>
        <v>#REF!</v>
      </c>
      <c r="R29" s="390"/>
      <c r="S29" s="390" t="s">
        <v>226</v>
      </c>
      <c r="T29" s="391" t="s">
        <v>369</v>
      </c>
      <c r="U29" s="404">
        <f t="shared" si="13"/>
        <v>6.9313749999987129E-5</v>
      </c>
      <c r="V29" s="405" t="e">
        <f t="shared" si="13"/>
        <v>#REF!</v>
      </c>
    </row>
    <row r="30" spans="2:22" x14ac:dyDescent="0.3">
      <c r="B30" s="333">
        <v>2.6</v>
      </c>
      <c r="C30" s="334">
        <v>12.481750376606486</v>
      </c>
      <c r="D30" s="382">
        <f t="shared" si="1"/>
        <v>8.0116968359999999E-2</v>
      </c>
      <c r="E30" s="334">
        <v>0.93193010622698147</v>
      </c>
      <c r="F30" s="382">
        <f t="shared" si="0"/>
        <v>1.0730418443595591</v>
      </c>
      <c r="I30" s="326"/>
      <c r="J30" s="326" t="s">
        <v>227</v>
      </c>
      <c r="K30" s="327" t="s">
        <v>0</v>
      </c>
      <c r="L30" s="341" t="e">
        <f>#REF!</f>
        <v>#REF!</v>
      </c>
      <c r="M30" s="341" t="e">
        <f>#REF!</f>
        <v>#REF!</v>
      </c>
      <c r="N30" s="389" t="e">
        <f>L30/M30</f>
        <v>#REF!</v>
      </c>
      <c r="O30" s="402">
        <v>3.5055000960000048E-2</v>
      </c>
      <c r="P30" s="341" t="e">
        <f>L30*O30</f>
        <v>#REF!</v>
      </c>
      <c r="R30" s="326"/>
      <c r="S30" s="326" t="s">
        <v>227</v>
      </c>
      <c r="T30" s="327" t="s">
        <v>0</v>
      </c>
      <c r="U30" s="402">
        <f t="shared" si="13"/>
        <v>-2.7679371000000064E-4</v>
      </c>
      <c r="V30" s="341" t="e">
        <f t="shared" si="13"/>
        <v>#REF!</v>
      </c>
    </row>
    <row r="31" spans="2:22" x14ac:dyDescent="0.3">
      <c r="B31" s="333">
        <v>2.7</v>
      </c>
      <c r="C31" s="334">
        <v>12.53026942039364</v>
      </c>
      <c r="D31" s="382">
        <f t="shared" si="1"/>
        <v>7.9806743689999987E-2</v>
      </c>
      <c r="E31" s="334">
        <v>0.94973995831579583</v>
      </c>
      <c r="F31" s="382">
        <f t="shared" si="0"/>
        <v>1.0529197926697029</v>
      </c>
      <c r="I31" s="326"/>
      <c r="J31" s="326" t="s">
        <v>227</v>
      </c>
      <c r="K31" s="327" t="s">
        <v>368</v>
      </c>
      <c r="L31" s="341" t="e">
        <f>#REF!</f>
        <v>#REF!</v>
      </c>
      <c r="M31" s="341" t="e">
        <f>#REF!</f>
        <v>#REF!</v>
      </c>
      <c r="N31" s="389" t="e">
        <f t="shared" ref="N31:N33" si="16">L31/M31</f>
        <v>#REF!</v>
      </c>
      <c r="O31" s="402">
        <v>4.1482881399999998E-2</v>
      </c>
      <c r="P31" s="341" t="e">
        <f t="shared" ref="P31:P33" si="17">L31*O31</f>
        <v>#REF!</v>
      </c>
      <c r="R31" s="326"/>
      <c r="S31" s="326" t="s">
        <v>227</v>
      </c>
      <c r="T31" s="327" t="s">
        <v>368</v>
      </c>
      <c r="U31" s="402">
        <f t="shared" si="13"/>
        <v>-1.3350720000006311E-5</v>
      </c>
      <c r="V31" s="341" t="e">
        <f t="shared" si="13"/>
        <v>#REF!</v>
      </c>
    </row>
    <row r="32" spans="2:22" x14ac:dyDescent="0.3">
      <c r="B32" s="333">
        <v>2.8</v>
      </c>
      <c r="C32" s="334">
        <v>12.578998905665335</v>
      </c>
      <c r="D32" s="382">
        <f t="shared" si="1"/>
        <v>7.9497582240000003E-2</v>
      </c>
      <c r="E32" s="334">
        <v>0.96744224738367468</v>
      </c>
      <c r="F32" s="382">
        <f t="shared" si="0"/>
        <v>1.0336534327546412</v>
      </c>
      <c r="I32" s="326"/>
      <c r="J32" s="326" t="s">
        <v>227</v>
      </c>
      <c r="K32" s="327" t="s">
        <v>1</v>
      </c>
      <c r="L32" s="341" t="e">
        <f>#REF!</f>
        <v>#REF!</v>
      </c>
      <c r="M32" s="341" t="e">
        <f>#REF!</f>
        <v>#REF!</v>
      </c>
      <c r="N32" s="389" t="e">
        <f t="shared" si="16"/>
        <v>#REF!</v>
      </c>
      <c r="O32" s="402">
        <v>3.5098866409999971E-2</v>
      </c>
      <c r="P32" s="341" t="e">
        <f t="shared" si="17"/>
        <v>#REF!</v>
      </c>
      <c r="R32" s="326"/>
      <c r="S32" s="326" t="s">
        <v>227</v>
      </c>
      <c r="T32" s="327" t="s">
        <v>1</v>
      </c>
      <c r="U32" s="402">
        <f t="shared" si="13"/>
        <v>-2.6214419999999461E-4</v>
      </c>
      <c r="V32" s="341" t="e">
        <f t="shared" si="13"/>
        <v>#REF!</v>
      </c>
    </row>
    <row r="33" spans="2:22" x14ac:dyDescent="0.3">
      <c r="B33" s="333">
        <v>2.9</v>
      </c>
      <c r="C33" s="334">
        <v>12.627939334390925</v>
      </c>
      <c r="D33" s="382">
        <f t="shared" si="1"/>
        <v>7.9189484009999977E-2</v>
      </c>
      <c r="E33" s="334">
        <v>0.98504611474524095</v>
      </c>
      <c r="F33" s="382">
        <f t="shared" si="0"/>
        <v>1.0151808986715576</v>
      </c>
      <c r="I33" s="326"/>
      <c r="J33" s="326" t="s">
        <v>227</v>
      </c>
      <c r="K33" s="327" t="s">
        <v>369</v>
      </c>
      <c r="L33" s="341" t="e">
        <f>#REF!</f>
        <v>#REF!</v>
      </c>
      <c r="M33" s="341" t="e">
        <f>#REF!</f>
        <v>#REF!</v>
      </c>
      <c r="N33" s="389" t="e">
        <f t="shared" si="16"/>
        <v>#REF!</v>
      </c>
      <c r="O33" s="402">
        <v>4.6684423350000143E-2</v>
      </c>
      <c r="P33" s="341" t="e">
        <f t="shared" si="17"/>
        <v>#REF!</v>
      </c>
      <c r="R33" s="390"/>
      <c r="S33" s="390" t="s">
        <v>227</v>
      </c>
      <c r="T33" s="391" t="s">
        <v>369</v>
      </c>
      <c r="U33" s="404">
        <f t="shared" si="13"/>
        <v>7.1030650000011852E-5</v>
      </c>
      <c r="V33" s="405" t="e">
        <f t="shared" si="13"/>
        <v>#REF!</v>
      </c>
    </row>
    <row r="34" spans="2:22" x14ac:dyDescent="0.3">
      <c r="B34" s="333">
        <v>3</v>
      </c>
      <c r="C34" s="334">
        <v>12.67709119933637</v>
      </c>
      <c r="D34" s="382">
        <f t="shared" si="1"/>
        <v>7.8882448999999993E-2</v>
      </c>
      <c r="E34" s="334">
        <v>1.0025598155820015</v>
      </c>
      <c r="F34" s="382">
        <f t="shared" si="0"/>
        <v>0.9974467203430496</v>
      </c>
      <c r="I34" s="328"/>
      <c r="J34" s="328" t="s">
        <v>4</v>
      </c>
      <c r="K34" s="329" t="s">
        <v>0</v>
      </c>
      <c r="L34" s="342" t="e">
        <f>#REF!</f>
        <v>#REF!</v>
      </c>
      <c r="M34" s="342" t="e">
        <f>#REF!</f>
        <v>#REF!</v>
      </c>
      <c r="N34" s="388" t="e">
        <f>L34/M34</f>
        <v>#REF!</v>
      </c>
      <c r="O34" s="404">
        <v>0.28163377051516858</v>
      </c>
      <c r="P34" s="405" t="e">
        <f>L34*O34</f>
        <v>#REF!</v>
      </c>
      <c r="R34" s="328"/>
      <c r="S34" s="328" t="s">
        <v>4</v>
      </c>
      <c r="T34" s="329" t="s">
        <v>0</v>
      </c>
      <c r="U34" s="403">
        <f t="shared" si="13"/>
        <v>-4.9191846702550945E-4</v>
      </c>
      <c r="V34" s="342" t="e">
        <f t="shared" si="13"/>
        <v>#REF!</v>
      </c>
    </row>
    <row r="35" spans="2:22" x14ac:dyDescent="0.3">
      <c r="B35" s="337">
        <v>3.1</v>
      </c>
      <c r="C35" s="338">
        <v>12.726454983817161</v>
      </c>
      <c r="D35" s="384">
        <f t="shared" si="1"/>
        <v>7.8576477209999995E-2</v>
      </c>
      <c r="E35" s="338">
        <v>1.0199908250766501</v>
      </c>
      <c r="F35" s="384">
        <f t="shared" si="0"/>
        <v>0.98040097559196393</v>
      </c>
      <c r="I35" s="328"/>
      <c r="J35" s="328" t="s">
        <v>4</v>
      </c>
      <c r="K35" s="329" t="s">
        <v>368</v>
      </c>
      <c r="L35" s="342" t="e">
        <f>#REF!</f>
        <v>#REF!</v>
      </c>
      <c r="M35" s="342" t="e">
        <f>#REF!</f>
        <v>#REF!</v>
      </c>
      <c r="N35" s="388" t="e">
        <f t="shared" ref="N35:N37" si="18">L35/M35</f>
        <v>#REF!</v>
      </c>
      <c r="O35" s="404">
        <v>0.34574826397501529</v>
      </c>
      <c r="P35" s="405" t="e">
        <f t="shared" ref="P35:P37" si="19">L35*O35</f>
        <v>#REF!</v>
      </c>
      <c r="R35" s="328"/>
      <c r="S35" s="328" t="s">
        <v>4</v>
      </c>
      <c r="T35" s="329" t="s">
        <v>368</v>
      </c>
      <c r="U35" s="403">
        <f t="shared" si="13"/>
        <v>9.2954451732452092E-4</v>
      </c>
      <c r="V35" s="342" t="e">
        <f t="shared" si="13"/>
        <v>#REF!</v>
      </c>
    </row>
    <row r="36" spans="2:22" x14ac:dyDescent="0.3">
      <c r="B36" s="337">
        <v>3.2</v>
      </c>
      <c r="C36" s="338">
        <v>12.776031161447284</v>
      </c>
      <c r="D36" s="384">
        <f t="shared" si="1"/>
        <v>7.8271568639999997E-2</v>
      </c>
      <c r="E36" s="338">
        <v>1.0373459286894964</v>
      </c>
      <c r="F36" s="384">
        <f t="shared" si="0"/>
        <v>0.96399857785466381</v>
      </c>
      <c r="I36" s="328"/>
      <c r="J36" s="328" t="s">
        <v>4</v>
      </c>
      <c r="K36" s="329" t="s">
        <v>1</v>
      </c>
      <c r="L36" s="342" t="e">
        <f>#REF!</f>
        <v>#REF!</v>
      </c>
      <c r="M36" s="342" t="e">
        <f>#REF!</f>
        <v>#REF!</v>
      </c>
      <c r="N36" s="388" t="e">
        <f t="shared" si="18"/>
        <v>#REF!</v>
      </c>
      <c r="O36" s="404">
        <v>0.27180588956317797</v>
      </c>
      <c r="P36" s="405" t="e">
        <f t="shared" si="19"/>
        <v>#REF!</v>
      </c>
      <c r="R36" s="328"/>
      <c r="S36" s="328" t="s">
        <v>4</v>
      </c>
      <c r="T36" s="329" t="s">
        <v>1</v>
      </c>
      <c r="U36" s="403">
        <f t="shared" si="13"/>
        <v>-8.6800106289419698E-4</v>
      </c>
      <c r="V36" s="342" t="e">
        <f t="shared" si="13"/>
        <v>#REF!</v>
      </c>
    </row>
    <row r="37" spans="2:22" x14ac:dyDescent="0.3">
      <c r="B37" s="337">
        <v>3.3</v>
      </c>
      <c r="C37" s="338">
        <v>12.825820195884292</v>
      </c>
      <c r="D37" s="384">
        <f t="shared" si="1"/>
        <v>7.7967723289999999E-2</v>
      </c>
      <c r="E37" s="338">
        <v>1.0546312993620313</v>
      </c>
      <c r="F37" s="384">
        <f t="shared" si="0"/>
        <v>0.94819867436602834</v>
      </c>
      <c r="I37" s="328"/>
      <c r="J37" s="328" t="s">
        <v>4</v>
      </c>
      <c r="K37" s="329" t="s">
        <v>369</v>
      </c>
      <c r="L37" s="342" t="e">
        <f>#REF!</f>
        <v>#REF!</v>
      </c>
      <c r="M37" s="342" t="e">
        <f>#REF!</f>
        <v>#REF!</v>
      </c>
      <c r="N37" s="388" t="e">
        <f t="shared" si="18"/>
        <v>#REF!</v>
      </c>
      <c r="O37" s="404">
        <v>0.56900633562761571</v>
      </c>
      <c r="P37" s="405" t="e">
        <f t="shared" si="19"/>
        <v>#REF!</v>
      </c>
      <c r="R37" s="328"/>
      <c r="S37" s="328" t="s">
        <v>4</v>
      </c>
      <c r="T37" s="329" t="s">
        <v>369</v>
      </c>
      <c r="U37" s="403">
        <f t="shared" si="13"/>
        <v>1.2476340970791755E-3</v>
      </c>
      <c r="V37" s="342" t="e">
        <f t="shared" si="13"/>
        <v>#REF!</v>
      </c>
    </row>
    <row r="38" spans="2:22" x14ac:dyDescent="0.3">
      <c r="B38" s="337">
        <v>3.4</v>
      </c>
      <c r="C38" s="338">
        <v>12.875822540570377</v>
      </c>
      <c r="D38" s="384">
        <f t="shared" si="1"/>
        <v>7.7664941160000001E-2</v>
      </c>
      <c r="E38" s="338">
        <v>1.0718525638746397</v>
      </c>
      <c r="F38" s="384">
        <f t="shared" si="0"/>
        <v>0.93296413490405816</v>
      </c>
      <c r="I38" s="322" t="s">
        <v>372</v>
      </c>
      <c r="J38" s="199"/>
      <c r="K38" s="323"/>
      <c r="L38" s="323"/>
      <c r="M38" s="323"/>
      <c r="N38" s="199"/>
      <c r="O38" s="401"/>
      <c r="P38" s="323"/>
    </row>
    <row r="39" spans="2:22" x14ac:dyDescent="0.3">
      <c r="B39" s="337">
        <v>3.5</v>
      </c>
      <c r="C39" s="338">
        <v>12.926038638469459</v>
      </c>
      <c r="D39" s="384">
        <f t="shared" si="1"/>
        <v>7.7363222249999988E-2</v>
      </c>
      <c r="E39" s="338">
        <v>1.0890148601523153</v>
      </c>
      <c r="F39" s="384">
        <f t="shared" si="0"/>
        <v>0.91826111524330789</v>
      </c>
      <c r="I39" s="194"/>
      <c r="J39" s="194" t="s">
        <v>225</v>
      </c>
      <c r="K39" s="325" t="s">
        <v>0</v>
      </c>
      <c r="L39" s="176" t="e">
        <f>#REF!</f>
        <v>#REF!</v>
      </c>
      <c r="M39" s="176" t="e">
        <f>#REF!</f>
        <v>#REF!</v>
      </c>
      <c r="N39" s="386" t="e">
        <f>L39/M39</f>
        <v>#REF!</v>
      </c>
      <c r="O39" s="399">
        <v>3.9132531689999965E-2</v>
      </c>
      <c r="P39" s="176" t="e">
        <f>L39*O39</f>
        <v>#REF!</v>
      </c>
    </row>
    <row r="40" spans="2:22" x14ac:dyDescent="0.3">
      <c r="B40" s="337">
        <v>3.6</v>
      </c>
      <c r="C40" s="338">
        <v>12.97646892180021</v>
      </c>
      <c r="D40" s="384">
        <f t="shared" si="1"/>
        <v>7.706256655999999E-2</v>
      </c>
      <c r="E40" s="338">
        <v>1.1061228869732</v>
      </c>
      <c r="F40" s="384">
        <f t="shared" si="0"/>
        <v>0.90405868260840783</v>
      </c>
      <c r="I40" s="194"/>
      <c r="J40" s="194" t="s">
        <v>225</v>
      </c>
      <c r="K40" s="325" t="s">
        <v>368</v>
      </c>
      <c r="L40" s="176" t="e">
        <f>#REF!</f>
        <v>#REF!</v>
      </c>
      <c r="M40" s="176" t="e">
        <f>#REF!</f>
        <v>#REF!</v>
      </c>
      <c r="N40" s="386" t="e">
        <f t="shared" ref="N40:N42" si="20">L40/M40</f>
        <v>#REF!</v>
      </c>
      <c r="O40" s="399">
        <v>3.4731450809999995E-2</v>
      </c>
      <c r="P40" s="176" t="e">
        <f t="shared" ref="P40:P42" si="21">L40*O40</f>
        <v>#REF!</v>
      </c>
    </row>
    <row r="41" spans="2:22" x14ac:dyDescent="0.3">
      <c r="B41" s="337">
        <v>3.7</v>
      </c>
      <c r="C41" s="338">
        <v>13.02711381176503</v>
      </c>
      <c r="D41" s="384">
        <f t="shared" si="1"/>
        <v>7.6762974089999991E-2</v>
      </c>
      <c r="E41" s="338">
        <v>1.1231809472674232</v>
      </c>
      <c r="F41" s="384">
        <f t="shared" si="0"/>
        <v>0.89032849286919524</v>
      </c>
      <c r="I41" s="194"/>
      <c r="J41" s="194" t="s">
        <v>225</v>
      </c>
      <c r="K41" s="325" t="s">
        <v>1</v>
      </c>
      <c r="L41" s="176" t="e">
        <f>#REF!</f>
        <v>#REF!</v>
      </c>
      <c r="M41" s="176" t="e">
        <f>#REF!</f>
        <v>#REF!</v>
      </c>
      <c r="N41" s="386" t="e">
        <f t="shared" si="20"/>
        <v>#REF!</v>
      </c>
      <c r="O41" s="399">
        <v>4.3180471040000001E-2</v>
      </c>
      <c r="P41" s="176" t="e">
        <f t="shared" si="21"/>
        <v>#REF!</v>
      </c>
    </row>
    <row r="42" spans="2:22" x14ac:dyDescent="0.3">
      <c r="B42" s="337">
        <v>3.8</v>
      </c>
      <c r="C42" s="338">
        <v>13.07797371827489</v>
      </c>
      <c r="D42" s="384">
        <f t="shared" si="1"/>
        <v>7.6464444839999993E-2</v>
      </c>
      <c r="E42" s="338">
        <v>1.1401929859813422</v>
      </c>
      <c r="F42" s="384">
        <f t="shared" si="0"/>
        <v>0.87704451114415438</v>
      </c>
      <c r="I42" s="194"/>
      <c r="J42" s="194" t="s">
        <v>225</v>
      </c>
      <c r="K42" s="325" t="s">
        <v>369</v>
      </c>
      <c r="L42" s="176" t="e">
        <f>#REF!</f>
        <v>#REF!</v>
      </c>
      <c r="M42" s="176" t="e">
        <f>#REF!</f>
        <v>#REF!</v>
      </c>
      <c r="N42" s="386" t="e">
        <f t="shared" si="20"/>
        <v>#REF!</v>
      </c>
      <c r="O42" s="399">
        <v>4.5936917350000113E-2</v>
      </c>
      <c r="P42" s="176" t="e">
        <f t="shared" si="21"/>
        <v>#REF!</v>
      </c>
    </row>
    <row r="43" spans="2:22" x14ac:dyDescent="0.3">
      <c r="B43" s="337">
        <v>3.9</v>
      </c>
      <c r="C43" s="338">
        <v>13.129049039670058</v>
      </c>
      <c r="D43" s="384">
        <f t="shared" si="1"/>
        <v>7.6166978809999994E-2</v>
      </c>
      <c r="E43" s="338">
        <v>1.1571626233124592</v>
      </c>
      <c r="F43" s="384">
        <f t="shared" si="0"/>
        <v>0.86418276900219071</v>
      </c>
      <c r="I43" s="198"/>
      <c r="J43" s="198" t="s">
        <v>226</v>
      </c>
      <c r="K43" s="324" t="s">
        <v>0</v>
      </c>
      <c r="L43" s="177" t="e">
        <f>#REF!</f>
        <v>#REF!</v>
      </c>
      <c r="M43" s="177" t="e">
        <f>#REF!</f>
        <v>#REF!</v>
      </c>
      <c r="N43" s="387" t="e">
        <f>L43/M43</f>
        <v>#REF!</v>
      </c>
      <c r="O43" s="400">
        <v>4.8190032410000062E-2</v>
      </c>
      <c r="P43" s="177" t="e">
        <f>L43*O43</f>
        <v>#REF!</v>
      </c>
    </row>
    <row r="44" spans="2:22" x14ac:dyDescent="0.3">
      <c r="B44" s="337">
        <v>4</v>
      </c>
      <c r="C44" s="338">
        <v>13.180340162436622</v>
      </c>
      <c r="D44" s="384">
        <f t="shared" si="1"/>
        <v>7.5870575999999995E-2</v>
      </c>
      <c r="E44" s="338">
        <v>1.1740931839836088</v>
      </c>
      <c r="F44" s="384">
        <f t="shared" si="0"/>
        <v>0.851721152666159</v>
      </c>
      <c r="I44" s="198"/>
      <c r="J44" s="198" t="s">
        <v>226</v>
      </c>
      <c r="K44" s="324" t="s">
        <v>368</v>
      </c>
      <c r="L44" s="177" t="e">
        <f>#REF!</f>
        <v>#REF!</v>
      </c>
      <c r="M44" s="177" t="e">
        <f>#REF!</f>
        <v>#REF!</v>
      </c>
      <c r="N44" s="387" t="e">
        <f t="shared" ref="N44:N46" si="22">L44/M44</f>
        <v>#REF!</v>
      </c>
      <c r="O44" s="400">
        <v>3.4724243839999995E-2</v>
      </c>
      <c r="P44" s="177" t="e">
        <f t="shared" ref="P44:P46" si="23">L44*O44</f>
        <v>#REF!</v>
      </c>
    </row>
    <row r="45" spans="2:22" x14ac:dyDescent="0.3">
      <c r="B45" s="331">
        <v>4.0999999999999996</v>
      </c>
      <c r="C45" s="332">
        <v>13.231847460918848</v>
      </c>
      <c r="D45" s="385">
        <f t="shared" si="1"/>
        <v>7.5575236409999982E-2</v>
      </c>
      <c r="E45" s="332">
        <v>1.1909877231143551</v>
      </c>
      <c r="F45" s="385">
        <f t="shared" si="0"/>
        <v>0.83963921759417082</v>
      </c>
      <c r="I45" s="198"/>
      <c r="J45" s="198" t="s">
        <v>226</v>
      </c>
      <c r="K45" s="324" t="s">
        <v>1</v>
      </c>
      <c r="L45" s="177" t="e">
        <f>#REF!</f>
        <v>#REF!</v>
      </c>
      <c r="M45" s="177" t="e">
        <f>#REF!</f>
        <v>#REF!</v>
      </c>
      <c r="N45" s="387" t="e">
        <f t="shared" si="22"/>
        <v>#REF!</v>
      </c>
      <c r="O45" s="400">
        <v>4.8530854890000072E-2</v>
      </c>
      <c r="P45" s="177" t="e">
        <f t="shared" si="23"/>
        <v>#REF!</v>
      </c>
    </row>
    <row r="46" spans="2:22" x14ac:dyDescent="0.3">
      <c r="B46" s="331">
        <v>4.2</v>
      </c>
      <c r="C46" s="332">
        <v>13.283571297027258</v>
      </c>
      <c r="D46" s="385">
        <f t="shared" si="1"/>
        <v>7.5280960039999997E-2</v>
      </c>
      <c r="E46" s="332">
        <v>1.2078490491574225</v>
      </c>
      <c r="F46" s="385">
        <f t="shared" si="0"/>
        <v>0.82791802559896466</v>
      </c>
      <c r="I46" s="198"/>
      <c r="J46" s="198" t="s">
        <v>226</v>
      </c>
      <c r="K46" s="324" t="s">
        <v>369</v>
      </c>
      <c r="L46" s="177" t="e">
        <f>#REF!</f>
        <v>#REF!</v>
      </c>
      <c r="M46" s="177" t="e">
        <f>#REF!</f>
        <v>#REF!</v>
      </c>
      <c r="N46" s="387" t="e">
        <f t="shared" si="22"/>
        <v>#REF!</v>
      </c>
      <c r="O46" s="400">
        <v>4.5584625600000123E-2</v>
      </c>
      <c r="P46" s="177" t="e">
        <f t="shared" si="23"/>
        <v>#REF!</v>
      </c>
    </row>
    <row r="47" spans="2:22" x14ac:dyDescent="0.3">
      <c r="B47" s="331">
        <v>4.3</v>
      </c>
      <c r="C47" s="332">
        <v>13.335512019942492</v>
      </c>
      <c r="D47" s="385">
        <f t="shared" si="1"/>
        <v>7.4987746889999984E-2</v>
      </c>
      <c r="E47" s="332">
        <v>1.2246797442942312</v>
      </c>
      <c r="F47" s="385">
        <f t="shared" si="0"/>
        <v>0.81654000130155535</v>
      </c>
      <c r="I47" s="194"/>
      <c r="J47" s="194" t="s">
        <v>227</v>
      </c>
      <c r="K47" s="325" t="s">
        <v>0</v>
      </c>
      <c r="L47" s="176" t="e">
        <f>#REF!</f>
        <v>#REF!</v>
      </c>
      <c r="M47" s="176" t="e">
        <f>#REF!</f>
        <v>#REF!</v>
      </c>
      <c r="N47" s="386" t="e">
        <f>L47/M47</f>
        <v>#REF!</v>
      </c>
      <c r="O47" s="399">
        <v>3.8846168999999958E-2</v>
      </c>
      <c r="P47" s="176" t="e">
        <f>L47*O47</f>
        <v>#REF!</v>
      </c>
    </row>
    <row r="48" spans="2:22" x14ac:dyDescent="0.3">
      <c r="B48" s="331">
        <v>4.4000000000000004</v>
      </c>
      <c r="C48" s="332">
        <v>13.387669965814812</v>
      </c>
      <c r="D48" s="385">
        <f t="shared" si="1"/>
        <v>7.4695596959999985E-2</v>
      </c>
      <c r="E48" s="332">
        <v>1.2414821826229001</v>
      </c>
      <c r="F48" s="385">
        <f t="shared" si="0"/>
        <v>0.80548880523382405</v>
      </c>
      <c r="I48" s="194"/>
      <c r="J48" s="194" t="s">
        <v>227</v>
      </c>
      <c r="K48" s="325" t="s">
        <v>368</v>
      </c>
      <c r="L48" s="176" t="e">
        <f>#REF!</f>
        <v>#REF!</v>
      </c>
      <c r="M48" s="176" t="e">
        <f>#REF!</f>
        <v>#REF!</v>
      </c>
      <c r="N48" s="386" t="e">
        <f t="shared" ref="N48:N50" si="24">L48/M48</f>
        <v>#REF!</v>
      </c>
      <c r="O48" s="399">
        <v>3.4731450809999995E-2</v>
      </c>
      <c r="P48" s="176" t="e">
        <f t="shared" ref="P48:P50" si="25">L48*O48</f>
        <v>#REF!</v>
      </c>
    </row>
    <row r="49" spans="2:16" x14ac:dyDescent="0.3">
      <c r="B49" s="331">
        <v>4.5</v>
      </c>
      <c r="C49" s="332">
        <v>13.440045457459348</v>
      </c>
      <c r="D49" s="385">
        <f t="shared" si="1"/>
        <v>7.440451025E-2</v>
      </c>
      <c r="E49" s="332">
        <v>1.2582585464218927</v>
      </c>
      <c r="F49" s="385">
        <f t="shared" si="0"/>
        <v>0.79474922132950976</v>
      </c>
      <c r="I49" s="194"/>
      <c r="J49" s="194" t="s">
        <v>227</v>
      </c>
      <c r="K49" s="325" t="s">
        <v>1</v>
      </c>
      <c r="L49" s="176" t="e">
        <f>#REF!</f>
        <v>#REF!</v>
      </c>
      <c r="M49" s="176" t="e">
        <f>#REF!</f>
        <v>#REF!</v>
      </c>
      <c r="N49" s="386" t="e">
        <f t="shared" si="24"/>
        <v>#REF!</v>
      </c>
      <c r="O49" s="399">
        <v>4.2914073959999993E-2</v>
      </c>
      <c r="P49" s="176" t="e">
        <f t="shared" si="25"/>
        <v>#REF!</v>
      </c>
    </row>
    <row r="50" spans="2:16" x14ac:dyDescent="0.3">
      <c r="B50" s="331">
        <v>4.5999999999999996</v>
      </c>
      <c r="C50" s="332">
        <v>13.492638804046953</v>
      </c>
      <c r="D50" s="385">
        <f t="shared" si="1"/>
        <v>7.4114486759999987E-2</v>
      </c>
      <c r="E50" s="332">
        <v>1.2750108407307998</v>
      </c>
      <c r="F50" s="385">
        <f t="shared" si="0"/>
        <v>0.78430705689280922</v>
      </c>
      <c r="I50" s="194"/>
      <c r="J50" s="194" t="s">
        <v>227</v>
      </c>
      <c r="K50" s="325" t="s">
        <v>369</v>
      </c>
      <c r="L50" s="176" t="e">
        <f>#REF!</f>
        <v>#REF!</v>
      </c>
      <c r="M50" s="176" t="e">
        <f>#REF!</f>
        <v>#REF!</v>
      </c>
      <c r="N50" s="386" t="e">
        <f t="shared" si="24"/>
        <v>#REF!</v>
      </c>
      <c r="O50" s="399">
        <v>4.5794283750000123E-2</v>
      </c>
      <c r="P50" s="176" t="e">
        <f t="shared" si="25"/>
        <v>#REF!</v>
      </c>
    </row>
    <row r="51" spans="2:16" x14ac:dyDescent="0.3">
      <c r="B51" s="331">
        <v>4.7</v>
      </c>
      <c r="C51" s="332">
        <v>13.545450300790669</v>
      </c>
      <c r="D51" s="385">
        <f t="shared" si="1"/>
        <v>7.3825526490000001E-2</v>
      </c>
      <c r="E51" s="332">
        <v>1.2917409064549676</v>
      </c>
      <c r="F51" s="385">
        <f t="shared" si="0"/>
        <v>0.77414905342309193</v>
      </c>
      <c r="I51" s="198"/>
      <c r="J51" s="198" t="s">
        <v>4</v>
      </c>
      <c r="K51" s="324" t="s">
        <v>0</v>
      </c>
      <c r="L51" s="177" t="e">
        <f>#REF!</f>
        <v>#REF!</v>
      </c>
      <c r="M51" s="177" t="e">
        <f>#REF!</f>
        <v>#REF!</v>
      </c>
      <c r="N51" s="387" t="e">
        <f>L51/M51</f>
        <v>#REF!</v>
      </c>
      <c r="O51" s="400">
        <v>0.27089761061174611</v>
      </c>
      <c r="P51" s="177" t="e">
        <f>L51*O51</f>
        <v>#REF!</v>
      </c>
    </row>
    <row r="52" spans="2:16" x14ac:dyDescent="0.3">
      <c r="B52" s="331">
        <v>4.8</v>
      </c>
      <c r="C52" s="332">
        <v>13.598480228627832</v>
      </c>
      <c r="D52" s="385">
        <f t="shared" si="1"/>
        <v>7.3537629440000002E-2</v>
      </c>
      <c r="E52" s="332">
        <v>1.3084504321715236</v>
      </c>
      <c r="F52" s="385">
        <f t="shared" si="0"/>
        <v>0.76426280691457704</v>
      </c>
      <c r="I52" s="198"/>
      <c r="J52" s="198" t="s">
        <v>4</v>
      </c>
      <c r="K52" s="324" t="s">
        <v>368</v>
      </c>
      <c r="L52" s="177" t="e">
        <f>#REF!</f>
        <v>#REF!</v>
      </c>
      <c r="M52" s="177" t="e">
        <f>#REF!</f>
        <v>#REF!</v>
      </c>
      <c r="N52" s="387" t="e">
        <f t="shared" ref="N52:N54" si="26">L52/M52</f>
        <v>#REF!</v>
      </c>
      <c r="O52" s="400">
        <v>0.27650995407385054</v>
      </c>
      <c r="P52" s="177" t="e">
        <f t="shared" ref="P52:P54" si="27">L52*O52</f>
        <v>#REF!</v>
      </c>
    </row>
    <row r="53" spans="2:16" x14ac:dyDescent="0.3">
      <c r="B53" s="331">
        <v>4.9000000000000004</v>
      </c>
      <c r="C53" s="332">
        <v>13.651728853897701</v>
      </c>
      <c r="D53" s="385">
        <f t="shared" si="1"/>
        <v>7.3250795609999989E-2</v>
      </c>
      <c r="E53" s="332">
        <v>1.3251409647898682</v>
      </c>
      <c r="F53" s="385">
        <f t="shared" si="0"/>
        <v>0.75463669645030795</v>
      </c>
      <c r="I53" s="198"/>
      <c r="J53" s="198" t="s">
        <v>4</v>
      </c>
      <c r="K53" s="324" t="s">
        <v>1</v>
      </c>
      <c r="L53" s="177" t="e">
        <f>#REF!</f>
        <v>#REF!</v>
      </c>
      <c r="M53" s="177" t="e">
        <f>#REF!</f>
        <v>#REF!</v>
      </c>
      <c r="N53" s="387" t="e">
        <f t="shared" si="26"/>
        <v>#REF!</v>
      </c>
      <c r="O53" s="400">
        <v>0.27915709482302065</v>
      </c>
      <c r="P53" s="177" t="e">
        <f t="shared" si="27"/>
        <v>#REF!</v>
      </c>
    </row>
    <row r="54" spans="2:16" x14ac:dyDescent="0.3">
      <c r="B54" s="331">
        <v>5</v>
      </c>
      <c r="C54" s="332">
        <v>13.705196428014656</v>
      </c>
      <c r="D54" s="385">
        <f t="shared" si="1"/>
        <v>7.2965025000000003E-2</v>
      </c>
      <c r="E54" s="332">
        <v>1.3418139191989675</v>
      </c>
      <c r="F54" s="385">
        <f t="shared" si="0"/>
        <v>0.74525982007771785</v>
      </c>
      <c r="I54" s="198"/>
      <c r="J54" s="198" t="s">
        <v>4</v>
      </c>
      <c r="K54" s="324" t="s">
        <v>369</v>
      </c>
      <c r="L54" s="177" t="e">
        <f>#REF!</f>
        <v>#REF!</v>
      </c>
      <c r="M54" s="177" t="e">
        <f>#REF!</f>
        <v>#REF!</v>
      </c>
      <c r="N54" s="387" t="e">
        <f t="shared" si="26"/>
        <v>#REF!</v>
      </c>
      <c r="O54" s="400">
        <v>0.5411174859711092</v>
      </c>
      <c r="P54" s="177" t="e">
        <f t="shared" si="27"/>
        <v>#REF!</v>
      </c>
    </row>
    <row r="55" spans="2:16" x14ac:dyDescent="0.3">
      <c r="B55" s="337">
        <v>5.0999999999999996</v>
      </c>
      <c r="C55" s="338">
        <v>13.758883187136913</v>
      </c>
      <c r="D55" s="384">
        <f t="shared" si="1"/>
        <v>7.2680317610000003E-2</v>
      </c>
      <c r="E55" s="338">
        <v>1.3584705870162626</v>
      </c>
      <c r="F55" s="384">
        <f t="shared" si="0"/>
        <v>0.7361219370942691</v>
      </c>
      <c r="I55" s="322" t="s">
        <v>373</v>
      </c>
      <c r="J55" s="199"/>
      <c r="K55" s="323"/>
      <c r="L55" s="323"/>
      <c r="M55" s="323"/>
      <c r="N55" s="199"/>
      <c r="O55" s="401"/>
      <c r="P55" s="323"/>
    </row>
    <row r="56" spans="2:16" x14ac:dyDescent="0.3">
      <c r="B56" s="337">
        <v>5.2</v>
      </c>
      <c r="C56" s="338">
        <v>13.812789351830746</v>
      </c>
      <c r="D56" s="384">
        <f t="shared" si="1"/>
        <v>7.2396673440000017E-2</v>
      </c>
      <c r="E56" s="338">
        <v>1.3751121445380787</v>
      </c>
      <c r="F56" s="384">
        <f t="shared" si="0"/>
        <v>0.72721341599082112</v>
      </c>
      <c r="I56" s="326"/>
      <c r="J56" s="326" t="s">
        <v>225</v>
      </c>
      <c r="K56" s="327" t="s">
        <v>0</v>
      </c>
      <c r="L56" s="341" t="e">
        <f>#REF!</f>
        <v>#REF!</v>
      </c>
      <c r="M56" s="341" t="e">
        <f>#REF!</f>
        <v>#REF!</v>
      </c>
      <c r="N56" s="389" t="e">
        <f>L56/M56</f>
        <v>#REF!</v>
      </c>
      <c r="O56" s="402">
        <v>3.8940560009999958E-2</v>
      </c>
      <c r="P56" s="341" t="e">
        <f>L56*O56</f>
        <v>#REF!</v>
      </c>
    </row>
    <row r="57" spans="2:16" x14ac:dyDescent="0.3">
      <c r="B57" s="337">
        <v>5.3</v>
      </c>
      <c r="C57" s="338">
        <v>13.866915126730175</v>
      </c>
      <c r="D57" s="384">
        <f t="shared" si="1"/>
        <v>7.2114092490000004E-2</v>
      </c>
      <c r="E57" s="338">
        <v>1.3917396599786951</v>
      </c>
      <c r="F57" s="384">
        <f t="shared" si="0"/>
        <v>0.71852518740129034</v>
      </c>
      <c r="I57" s="326"/>
      <c r="J57" s="326" t="s">
        <v>225</v>
      </c>
      <c r="K57" s="327" t="s">
        <v>368</v>
      </c>
      <c r="L57" s="341" t="e">
        <f>#REF!</f>
        <v>#REF!</v>
      </c>
      <c r="M57" s="341" t="e">
        <f>#REF!</f>
        <v>#REF!</v>
      </c>
      <c r="N57" s="389" t="e">
        <f t="shared" ref="N57:N59" si="28">L57/M57</f>
        <v>#REF!</v>
      </c>
      <c r="O57" s="402">
        <v>3.4724243839999995E-2</v>
      </c>
      <c r="P57" s="341" t="e">
        <f t="shared" ref="P57:P59" si="29">L57*O57</f>
        <v>#REF!</v>
      </c>
    </row>
    <row r="58" spans="2:16" x14ac:dyDescent="0.3">
      <c r="B58" s="337">
        <v>5.4</v>
      </c>
      <c r="C58" s="338">
        <v>13.921260700192112</v>
      </c>
      <c r="D58" s="384">
        <f t="shared" si="1"/>
        <v>7.1832574760000004E-2</v>
      </c>
      <c r="E58" s="338">
        <v>1.4083541000743183</v>
      </c>
      <c r="F58" s="384">
        <f t="shared" si="0"/>
        <v>0.71004870149292032</v>
      </c>
      <c r="I58" s="326"/>
      <c r="J58" s="326" t="s">
        <v>225</v>
      </c>
      <c r="K58" s="327" t="s">
        <v>1</v>
      </c>
      <c r="L58" s="341" t="e">
        <f>#REF!</f>
        <v>#REF!</v>
      </c>
      <c r="M58" s="341" t="e">
        <f>#REF!</f>
        <v>#REF!</v>
      </c>
      <c r="N58" s="389" t="e">
        <f t="shared" si="28"/>
        <v>#REF!</v>
      </c>
      <c r="O58" s="402">
        <v>4.2914073959999993E-2</v>
      </c>
      <c r="P58" s="341" t="e">
        <f t="shared" si="29"/>
        <v>#REF!</v>
      </c>
    </row>
    <row r="59" spans="2:16" x14ac:dyDescent="0.3">
      <c r="B59" s="337">
        <v>5.5</v>
      </c>
      <c r="C59" s="338">
        <v>13.975826243946974</v>
      </c>
      <c r="D59" s="384">
        <f t="shared" si="1"/>
        <v>7.1552120250000018E-2</v>
      </c>
      <c r="E59" s="338">
        <v>1.4249563361188731</v>
      </c>
      <c r="F59" s="384">
        <f t="shared" si="0"/>
        <v>0.70177588930456725</v>
      </c>
      <c r="I59" s="326"/>
      <c r="J59" s="326" t="s">
        <v>225</v>
      </c>
      <c r="K59" s="327" t="s">
        <v>369</v>
      </c>
      <c r="L59" s="341" t="e">
        <f>#REF!</f>
        <v>#REF!</v>
      </c>
      <c r="M59" s="341" t="e">
        <f>#REF!</f>
        <v>#REF!</v>
      </c>
      <c r="N59" s="389" t="e">
        <f t="shared" si="28"/>
        <v>#REF!</v>
      </c>
      <c r="O59" s="404">
        <v>4.6009092600000134E-2</v>
      </c>
      <c r="P59" s="405" t="e">
        <f t="shared" si="29"/>
        <v>#REF!</v>
      </c>
    </row>
    <row r="60" spans="2:16" x14ac:dyDescent="0.3">
      <c r="B60" s="337">
        <v>5.6</v>
      </c>
      <c r="C60" s="338">
        <v>14.030611912744696</v>
      </c>
      <c r="D60" s="384">
        <f t="shared" si="1"/>
        <v>7.1272728960000004E-2</v>
      </c>
      <c r="E60" s="338">
        <v>1.4415471494904193</v>
      </c>
      <c r="F60" s="384">
        <f t="shared" si="0"/>
        <v>0.69369912760293395</v>
      </c>
      <c r="I60" s="328"/>
      <c r="J60" s="328" t="s">
        <v>226</v>
      </c>
      <c r="K60" s="329" t="s">
        <v>0</v>
      </c>
      <c r="L60" s="342" t="e">
        <f>#REF!</f>
        <v>#REF!</v>
      </c>
      <c r="M60" s="342" t="e">
        <f>#REF!</f>
        <v>#REF!</v>
      </c>
      <c r="N60" s="388" t="e">
        <f>L60/M60</f>
        <v>#REF!</v>
      </c>
      <c r="O60" s="403">
        <v>4.7853462810000073E-2</v>
      </c>
      <c r="P60" s="342" t="e">
        <f>L60*O60</f>
        <v>#REF!</v>
      </c>
    </row>
    <row r="61" spans="2:16" x14ac:dyDescent="0.3">
      <c r="B61" s="337">
        <v>5.7</v>
      </c>
      <c r="C61" s="338">
        <v>14.085617843996147</v>
      </c>
      <c r="D61" s="384">
        <f t="shared" si="1"/>
        <v>7.0994400890000003E-2</v>
      </c>
      <c r="E61" s="338">
        <v>1.4581272367200964</v>
      </c>
      <c r="F61" s="384">
        <f t="shared" si="0"/>
        <v>0.68581120688026831</v>
      </c>
      <c r="I61" s="328"/>
      <c r="J61" s="328" t="s">
        <v>226</v>
      </c>
      <c r="K61" s="329" t="s">
        <v>368</v>
      </c>
      <c r="L61" s="342" t="e">
        <f>#REF!</f>
        <v>#REF!</v>
      </c>
      <c r="M61" s="342" t="e">
        <f>#REF!</f>
        <v>#REF!</v>
      </c>
      <c r="N61" s="388" t="e">
        <f t="shared" ref="N61:N63" si="30">L61/M61</f>
        <v>#REF!</v>
      </c>
      <c r="O61" s="403">
        <v>3.4718100089999988E-2</v>
      </c>
      <c r="P61" s="342" t="e">
        <f t="shared" ref="P61:P63" si="31">L61*O61</f>
        <v>#REF!</v>
      </c>
    </row>
    <row r="62" spans="2:16" x14ac:dyDescent="0.3">
      <c r="B62" s="337">
        <v>5.8</v>
      </c>
      <c r="C62" s="338">
        <v>14.140844157409969</v>
      </c>
      <c r="D62" s="384">
        <f t="shared" si="1"/>
        <v>7.0717136040000003E-2</v>
      </c>
      <c r="E62" s="338">
        <v>1.4746972141493968</v>
      </c>
      <c r="F62" s="384">
        <f t="shared" si="0"/>
        <v>0.67810530216319598</v>
      </c>
      <c r="I62" s="328"/>
      <c r="J62" s="328" t="s">
        <v>226</v>
      </c>
      <c r="K62" s="329" t="s">
        <v>1</v>
      </c>
      <c r="L62" s="342" t="e">
        <f>#REF!</f>
        <v>#REF!</v>
      </c>
      <c r="M62" s="342" t="e">
        <f>#REF!</f>
        <v>#REF!</v>
      </c>
      <c r="N62" s="388" t="e">
        <f t="shared" si="30"/>
        <v>#REF!</v>
      </c>
      <c r="O62" s="403">
        <v>4.8359912040000071E-2</v>
      </c>
      <c r="P62" s="342" t="e">
        <f t="shared" si="31"/>
        <v>#REF!</v>
      </c>
    </row>
    <row r="63" spans="2:16" x14ac:dyDescent="0.3">
      <c r="B63" s="337">
        <v>5.9</v>
      </c>
      <c r="C63" s="338">
        <v>14.196290954624772</v>
      </c>
      <c r="D63" s="384">
        <f t="shared" si="1"/>
        <v>7.0440934410000017E-2</v>
      </c>
      <c r="E63" s="338">
        <v>1.4912576222164049</v>
      </c>
      <c r="F63" s="384">
        <f t="shared" si="0"/>
        <v>0.67057494634209103</v>
      </c>
      <c r="I63" s="328"/>
      <c r="J63" s="328" t="s">
        <v>226</v>
      </c>
      <c r="K63" s="329" t="s">
        <v>369</v>
      </c>
      <c r="L63" s="342" t="e">
        <f>#REF!</f>
        <v>#REF!</v>
      </c>
      <c r="M63" s="342" t="e">
        <f>#REF!</f>
        <v>#REF!</v>
      </c>
      <c r="N63" s="388" t="e">
        <f t="shared" si="30"/>
        <v>#REF!</v>
      </c>
      <c r="O63" s="404">
        <v>4.565393935000011E-2</v>
      </c>
      <c r="P63" s="405" t="e">
        <f t="shared" si="31"/>
        <v>#REF!</v>
      </c>
    </row>
    <row r="64" spans="2:16" x14ac:dyDescent="0.3">
      <c r="B64" s="337">
        <v>6</v>
      </c>
      <c r="C64" s="338">
        <v>14.251958318836717</v>
      </c>
      <c r="D64" s="384">
        <f t="shared" si="1"/>
        <v>7.0165796000000002E-2</v>
      </c>
      <c r="E64" s="338">
        <v>1.5078089294070127</v>
      </c>
      <c r="F64" s="384">
        <f t="shared" si="0"/>
        <v>0.66321400576482692</v>
      </c>
      <c r="I64" s="326"/>
      <c r="J64" s="326" t="s">
        <v>227</v>
      </c>
      <c r="K64" s="327" t="s">
        <v>0</v>
      </c>
      <c r="L64" s="341" t="e">
        <f>#REF!</f>
        <v>#REF!</v>
      </c>
      <c r="M64" s="341" t="e">
        <f>#REF!</f>
        <v>#REF!</v>
      </c>
      <c r="N64" s="389" t="e">
        <f>L64/M64</f>
        <v>#REF!</v>
      </c>
      <c r="O64" s="402">
        <v>3.8569375289999958E-2</v>
      </c>
      <c r="P64" s="341" t="e">
        <f>L64*O64</f>
        <v>#REF!</v>
      </c>
    </row>
    <row r="65" spans="2:16" x14ac:dyDescent="0.3">
      <c r="B65" s="331">
        <v>6.1</v>
      </c>
      <c r="C65" s="332">
        <v>14.307846314422429</v>
      </c>
      <c r="D65" s="385">
        <f t="shared" si="1"/>
        <v>6.9891720810000002E-2</v>
      </c>
      <c r="E65" s="332">
        <v>1.5243515359031938</v>
      </c>
      <c r="F65" s="385">
        <f t="shared" si="0"/>
        <v>0.65601665786854724</v>
      </c>
      <c r="I65" s="326"/>
      <c r="J65" s="326" t="s">
        <v>227</v>
      </c>
      <c r="K65" s="327" t="s">
        <v>368</v>
      </c>
      <c r="L65" s="341" t="e">
        <f>#REF!</f>
        <v>#REF!</v>
      </c>
      <c r="M65" s="341" t="e">
        <f>#REF!</f>
        <v>#REF!</v>
      </c>
      <c r="N65" s="389" t="e">
        <f t="shared" ref="N65:N67" si="32">L65/M65</f>
        <v>#REF!</v>
      </c>
      <c r="O65" s="402">
        <v>3.4718100089999988E-2</v>
      </c>
      <c r="P65" s="341" t="e">
        <f t="shared" ref="P65:P67" si="33">L65*O65</f>
        <v>#REF!</v>
      </c>
    </row>
    <row r="66" spans="2:16" x14ac:dyDescent="0.3">
      <c r="B66" s="331">
        <v>6.2</v>
      </c>
      <c r="C66" s="332">
        <v>14.363954986557312</v>
      </c>
      <c r="D66" s="385">
        <f t="shared" si="1"/>
        <v>6.9618708840000029E-2</v>
      </c>
      <c r="E66" s="332">
        <v>1.5408857769568967</v>
      </c>
      <c r="F66" s="385">
        <f t="shared" si="0"/>
        <v>0.64897737064904659</v>
      </c>
      <c r="I66" s="326"/>
      <c r="J66" s="326" t="s">
        <v>227</v>
      </c>
      <c r="K66" s="327" t="s">
        <v>1</v>
      </c>
      <c r="L66" s="341" t="e">
        <f>#REF!</f>
        <v>#REF!</v>
      </c>
      <c r="M66" s="341" t="e">
        <f>#REF!</f>
        <v>#REF!</v>
      </c>
      <c r="N66" s="389" t="e">
        <f t="shared" si="32"/>
        <v>#REF!</v>
      </c>
      <c r="O66" s="402">
        <v>4.2651929759999999E-2</v>
      </c>
      <c r="P66" s="341" t="e">
        <f t="shared" si="33"/>
        <v>#REF!</v>
      </c>
    </row>
    <row r="67" spans="2:16" x14ac:dyDescent="0.3">
      <c r="B67" s="331">
        <v>6.3</v>
      </c>
      <c r="C67" s="332">
        <v>14.420284360829175</v>
      </c>
      <c r="D67" s="385">
        <f t="shared" si="1"/>
        <v>6.9346760090000015E-2</v>
      </c>
      <c r="E67" s="332">
        <v>1.5574119260150876</v>
      </c>
      <c r="F67" s="385">
        <f t="shared" si="0"/>
        <v>0.64209088378992696</v>
      </c>
      <c r="I67" s="326"/>
      <c r="J67" s="326" t="s">
        <v>227</v>
      </c>
      <c r="K67" s="327" t="s">
        <v>369</v>
      </c>
      <c r="L67" s="341" t="e">
        <f>#REF!</f>
        <v>#REF!</v>
      </c>
      <c r="M67" s="341" t="e">
        <f>#REF!</f>
        <v>#REF!</v>
      </c>
      <c r="N67" s="389" t="e">
        <f t="shared" si="32"/>
        <v>#REF!</v>
      </c>
      <c r="O67" s="404">
        <v>4.5865314400000134E-2</v>
      </c>
      <c r="P67" s="405" t="e">
        <f t="shared" si="33"/>
        <v>#REF!</v>
      </c>
    </row>
    <row r="68" spans="2:16" x14ac:dyDescent="0.3">
      <c r="B68" s="331">
        <v>6.4</v>
      </c>
      <c r="C68" s="332">
        <v>14.476834442847187</v>
      </c>
      <c r="D68" s="385">
        <f t="shared" si="1"/>
        <v>6.9075874560000014E-2</v>
      </c>
      <c r="E68" s="332">
        <v>1.5739301976187852</v>
      </c>
      <c r="F68" s="385">
        <f t="shared" si="0"/>
        <v>0.63535219129343223</v>
      </c>
      <c r="I68" s="328"/>
      <c r="J68" s="328" t="s">
        <v>4</v>
      </c>
      <c r="K68" s="329" t="s">
        <v>0</v>
      </c>
      <c r="L68" s="342" t="e">
        <f>#REF!</f>
        <v>#REF!</v>
      </c>
      <c r="M68" s="342" t="e">
        <f>#REF!</f>
        <v>#REF!</v>
      </c>
      <c r="N68" s="388" t="e">
        <f>L68/M68</f>
        <v>#REF!</v>
      </c>
      <c r="O68" s="403">
        <v>0.2704056921447206</v>
      </c>
      <c r="P68" s="342" t="e">
        <f>L68*O68</f>
        <v>#REF!</v>
      </c>
    </row>
    <row r="69" spans="2:16" x14ac:dyDescent="0.3">
      <c r="B69" s="331">
        <v>6.5</v>
      </c>
      <c r="C69" s="332">
        <v>14.533605217846221</v>
      </c>
      <c r="D69" s="385">
        <f t="shared" si="1"/>
        <v>6.8806052250000027E-2</v>
      </c>
      <c r="E69" s="332">
        <v>1.5904407500965554</v>
      </c>
      <c r="F69" s="385">
        <f t="shared" ref="F69:F132" si="34">1/E69</f>
        <v>0.62875652547213101</v>
      </c>
      <c r="I69" s="328"/>
      <c r="J69" s="328" t="s">
        <v>4</v>
      </c>
      <c r="K69" s="329" t="s">
        <v>368</v>
      </c>
      <c r="L69" s="342" t="e">
        <f>#REF!</f>
        <v>#REF!</v>
      </c>
      <c r="M69" s="342" t="e">
        <f>#REF!</f>
        <v>#REF!</v>
      </c>
      <c r="N69" s="388" t="e">
        <f t="shared" ref="N69:N71" si="35">L69/M69</f>
        <v>#REF!</v>
      </c>
      <c r="O69" s="403">
        <v>0.27743949859117506</v>
      </c>
      <c r="P69" s="342" t="e">
        <f t="shared" ref="P69:P71" si="36">L69*O69</f>
        <v>#REF!</v>
      </c>
    </row>
    <row r="70" spans="2:16" x14ac:dyDescent="0.3">
      <c r="B70" s="331">
        <v>6.6</v>
      </c>
      <c r="C70" s="332">
        <v>14.590596650286498</v>
      </c>
      <c r="D70" s="385">
        <f t="shared" ref="D70:D133" si="37">1/C70</f>
        <v>6.8537293160000012E-2</v>
      </c>
      <c r="E70" s="332">
        <v>1.6069436880708632</v>
      </c>
      <c r="F70" s="385">
        <f t="shared" si="34"/>
        <v>0.62229934217576754</v>
      </c>
      <c r="I70" s="328"/>
      <c r="J70" s="328" t="s">
        <v>4</v>
      </c>
      <c r="K70" s="329" t="s">
        <v>1</v>
      </c>
      <c r="L70" s="342" t="e">
        <f>#REF!</f>
        <v>#REF!</v>
      </c>
      <c r="M70" s="342" t="e">
        <f>#REF!</f>
        <v>#REF!</v>
      </c>
      <c r="N70" s="388" t="e">
        <f t="shared" si="35"/>
        <v>#REF!</v>
      </c>
      <c r="O70" s="403">
        <v>0.27828909376012645</v>
      </c>
      <c r="P70" s="342" t="e">
        <f t="shared" si="36"/>
        <v>#REF!</v>
      </c>
    </row>
    <row r="71" spans="2:16" x14ac:dyDescent="0.3">
      <c r="B71" s="331">
        <v>6.7</v>
      </c>
      <c r="C71" s="332">
        <v>14.647808683448584</v>
      </c>
      <c r="D71" s="385">
        <f t="shared" si="37"/>
        <v>6.8269597289999998E-2</v>
      </c>
      <c r="E71" s="332">
        <v>1.6234390647938131</v>
      </c>
      <c r="F71" s="385">
        <f t="shared" si="34"/>
        <v>0.61597630714091889</v>
      </c>
      <c r="I71" s="328"/>
      <c r="J71" s="328" t="s">
        <v>4</v>
      </c>
      <c r="K71" s="329" t="s">
        <v>369</v>
      </c>
      <c r="L71" s="342" t="e">
        <f>#REF!</f>
        <v>#REF!</v>
      </c>
      <c r="M71" s="342" t="e">
        <f>#REF!</f>
        <v>#REF!</v>
      </c>
      <c r="N71" s="388" t="e">
        <f t="shared" si="35"/>
        <v>#REF!</v>
      </c>
      <c r="O71" s="403">
        <v>0.54236512006818838</v>
      </c>
      <c r="P71" s="342" t="e">
        <f t="shared" si="36"/>
        <v>#REF!</v>
      </c>
    </row>
    <row r="72" spans="2:16" x14ac:dyDescent="0.3">
      <c r="B72" s="331">
        <v>6.8</v>
      </c>
      <c r="C72" s="332">
        <v>14.705241239023719</v>
      </c>
      <c r="D72" s="385">
        <f t="shared" si="37"/>
        <v>6.800296464000001E-2</v>
      </c>
      <c r="E72" s="332">
        <v>1.6399268843272059</v>
      </c>
      <c r="F72" s="385">
        <f t="shared" si="34"/>
        <v>0.60978328336281806</v>
      </c>
    </row>
    <row r="73" spans="2:16" x14ac:dyDescent="0.3">
      <c r="B73" s="331">
        <v>6.9</v>
      </c>
      <c r="C73" s="332">
        <v>14.762894216699532</v>
      </c>
      <c r="D73" s="385">
        <f t="shared" si="37"/>
        <v>6.7737395210000023E-2</v>
      </c>
      <c r="E73" s="332">
        <v>1.6564071035803509</v>
      </c>
      <c r="F73" s="385">
        <f t="shared" si="34"/>
        <v>0.60371631939906789</v>
      </c>
    </row>
    <row r="74" spans="2:16" x14ac:dyDescent="0.3">
      <c r="B74" s="331">
        <v>7</v>
      </c>
      <c r="C74" s="332">
        <v>14.820767493741073</v>
      </c>
      <c r="D74" s="385">
        <f t="shared" si="37"/>
        <v>6.7472889000000022E-2</v>
      </c>
      <c r="E74" s="332">
        <v>1.6728796342178014</v>
      </c>
      <c r="F74" s="385">
        <f t="shared" si="34"/>
        <v>0.59777163852411663</v>
      </c>
    </row>
    <row r="75" spans="2:16" x14ac:dyDescent="0.3">
      <c r="B75" s="337">
        <v>7.1</v>
      </c>
      <c r="C75" s="338">
        <v>14.878860924567226</v>
      </c>
      <c r="D75" s="384">
        <f t="shared" si="37"/>
        <v>6.7209446010000021E-2</v>
      </c>
      <c r="E75" s="338">
        <v>1.6893443444480474</v>
      </c>
      <c r="F75" s="384">
        <f t="shared" si="34"/>
        <v>0.59194562866147105</v>
      </c>
    </row>
    <row r="76" spans="2:16" x14ac:dyDescent="0.3">
      <c r="B76" s="337">
        <v>7.2</v>
      </c>
      <c r="C76" s="338">
        <v>14.937174340322514</v>
      </c>
      <c r="D76" s="384">
        <f t="shared" si="37"/>
        <v>6.6947066240000019E-2</v>
      </c>
      <c r="E76" s="338">
        <v>1.7058010607031227</v>
      </c>
      <c r="F76" s="384">
        <f t="shared" si="34"/>
        <v>0.58623483302783563</v>
      </c>
    </row>
    <row r="77" spans="2:16" x14ac:dyDescent="0.3">
      <c r="B77" s="337">
        <v>7.3</v>
      </c>
      <c r="C77" s="338">
        <v>14.995707548444292</v>
      </c>
      <c r="D77" s="384">
        <f t="shared" si="37"/>
        <v>6.6685749690000032E-2</v>
      </c>
      <c r="E77" s="338">
        <v>1.7222495692182265</v>
      </c>
      <c r="F77" s="384">
        <f t="shared" si="34"/>
        <v>0.58063594142974628</v>
      </c>
    </row>
    <row r="78" spans="2:16" x14ac:dyDescent="0.3">
      <c r="B78" s="337">
        <v>7.4</v>
      </c>
      <c r="C78" s="338">
        <v>15.054460332225354</v>
      </c>
      <c r="D78" s="384">
        <f t="shared" si="37"/>
        <v>6.642549636000003E-2</v>
      </c>
      <c r="E78" s="338">
        <v>1.7386896175195863</v>
      </c>
      <c r="F78" s="384">
        <f t="shared" si="34"/>
        <v>0.57514578215897982</v>
      </c>
    </row>
    <row r="79" spans="2:16" x14ac:dyDescent="0.3">
      <c r="B79" s="337">
        <v>7.5</v>
      </c>
      <c r="C79" s="338">
        <v>15.11343245037197</v>
      </c>
      <c r="D79" s="384">
        <f t="shared" si="37"/>
        <v>6.6166306250000015E-2</v>
      </c>
      <c r="E79" s="338">
        <v>1.7551209158280792</v>
      </c>
      <c r="F79" s="384">
        <f t="shared" si="34"/>
        <v>0.5697613144380953</v>
      </c>
    </row>
    <row r="80" spans="2:16" x14ac:dyDescent="0.3">
      <c r="B80" s="337">
        <v>7.6</v>
      </c>
      <c r="C80" s="338">
        <v>15.172623636557384</v>
      </c>
      <c r="D80" s="384">
        <f t="shared" si="37"/>
        <v>6.5908179360000027E-2</v>
      </c>
      <c r="E80" s="338">
        <v>1.7715431383854499</v>
      </c>
      <c r="F80" s="384">
        <f t="shared" si="34"/>
        <v>0.56447962137200935</v>
      </c>
    </row>
    <row r="81" spans="2:6" x14ac:dyDescent="0.3">
      <c r="B81" s="337">
        <v>7.7</v>
      </c>
      <c r="C81" s="338">
        <v>15.232033598970808</v>
      </c>
      <c r="D81" s="384">
        <f t="shared" si="37"/>
        <v>6.5651115690000025E-2</v>
      </c>
      <c r="E81" s="338">
        <v>1.7879559247093932</v>
      </c>
      <c r="F81" s="384">
        <f t="shared" si="34"/>
        <v>0.55929790336556295</v>
      </c>
    </row>
    <row r="82" spans="2:6" x14ac:dyDescent="0.3">
      <c r="B82" s="337">
        <v>7.8</v>
      </c>
      <c r="C82" s="338">
        <v>15.291662019861892</v>
      </c>
      <c r="D82" s="384">
        <f t="shared" si="37"/>
        <v>6.5395115240000024E-2</v>
      </c>
      <c r="E82" s="338">
        <v>1.804358880783193</v>
      </c>
      <c r="F82" s="384">
        <f t="shared" si="34"/>
        <v>0.55421347197068904</v>
      </c>
    </row>
    <row r="83" spans="2:6" x14ac:dyDescent="0.3">
      <c r="B83" s="337">
        <v>7.9</v>
      </c>
      <c r="C83" s="338">
        <v>15.351508555080775</v>
      </c>
      <c r="D83" s="384">
        <f t="shared" si="37"/>
        <v>6.5140178010000022E-2</v>
      </c>
      <c r="E83" s="338">
        <v>1.8207515801851486</v>
      </c>
      <c r="F83" s="384">
        <f t="shared" si="34"/>
        <v>0.54922374413005426</v>
      </c>
    </row>
    <row r="84" spans="2:6" x14ac:dyDescent="0.3">
      <c r="B84" s="337">
        <v>8</v>
      </c>
      <c r="C84" s="338">
        <v>15.411572833613695</v>
      </c>
      <c r="D84" s="384">
        <f t="shared" si="37"/>
        <v>6.488630400000002E-2</v>
      </c>
      <c r="E84" s="338">
        <v>1.8371335651625804</v>
      </c>
      <c r="F84" s="384">
        <f t="shared" si="34"/>
        <v>0.54432623678698244</v>
      </c>
    </row>
    <row r="85" spans="2:6" x14ac:dyDescent="0.3">
      <c r="B85" s="331">
        <v>8.1</v>
      </c>
      <c r="C85" s="332">
        <v>15.471854457114208</v>
      </c>
      <c r="D85" s="385">
        <f t="shared" si="37"/>
        <v>6.4633493210000031E-2</v>
      </c>
      <c r="E85" s="332">
        <v>1.8535043476548061</v>
      </c>
      <c r="F85" s="385">
        <f t="shared" si="34"/>
        <v>0.53951856183411473</v>
      </c>
    </row>
    <row r="86" spans="2:6" x14ac:dyDescent="0.3">
      <c r="B86" s="331">
        <v>8.1999999999999993</v>
      </c>
      <c r="C86" s="332">
        <v>15.532352999430096</v>
      </c>
      <c r="D86" s="385">
        <f t="shared" si="37"/>
        <v>6.4381745640000029E-2</v>
      </c>
      <c r="E86" s="332">
        <v>1.869863410269103</v>
      </c>
      <c r="F86" s="385">
        <f t="shared" si="34"/>
        <v>0.53479842137564704</v>
      </c>
    </row>
    <row r="87" spans="2:6" x14ac:dyDescent="0.3">
      <c r="B87" s="331">
        <v>8.3000000000000007</v>
      </c>
      <c r="C87" s="332">
        <v>15.59306800612592</v>
      </c>
      <c r="D87" s="385">
        <f t="shared" si="37"/>
        <v>6.4131061290000041E-2</v>
      </c>
      <c r="E87" s="332">
        <v>1.886210207213378</v>
      </c>
      <c r="F87" s="385">
        <f t="shared" si="34"/>
        <v>0.53016360328012724</v>
      </c>
    </row>
    <row r="88" spans="2:6" x14ac:dyDescent="0.3">
      <c r="B88" s="331">
        <v>8.4</v>
      </c>
      <c r="C88" s="332">
        <v>15.653998994001382</v>
      </c>
      <c r="D88" s="385">
        <f t="shared" si="37"/>
        <v>6.3881440160000039E-2</v>
      </c>
      <c r="E88" s="332">
        <v>1.9025441651889348</v>
      </c>
      <c r="F88" s="385">
        <f t="shared" si="34"/>
        <v>0.52561197700274864</v>
      </c>
    </row>
    <row r="89" spans="2:6" x14ac:dyDescent="0.3">
      <c r="B89" s="331">
        <v>8.5</v>
      </c>
      <c r="C89" s="332">
        <v>15.715145450605446</v>
      </c>
      <c r="D89" s="385">
        <f t="shared" si="37"/>
        <v>6.3632882250000036E-2</v>
      </c>
      <c r="E89" s="332">
        <v>1.9188646842464785</v>
      </c>
      <c r="F89" s="385">
        <f t="shared" si="34"/>
        <v>0.52114148965782403</v>
      </c>
    </row>
    <row r="90" spans="2:6" x14ac:dyDescent="0.3">
      <c r="B90" s="331">
        <v>8.6</v>
      </c>
      <c r="C90" s="332">
        <v>15.776506833746327</v>
      </c>
      <c r="D90" s="385">
        <f t="shared" si="37"/>
        <v>6.3385387560000034E-2</v>
      </c>
      <c r="E90" s="332">
        <v>1.9351711386082542</v>
      </c>
      <c r="F90" s="385">
        <f t="shared" si="34"/>
        <v>0.51675016232372339</v>
      </c>
    </row>
    <row r="91" spans="2:6" x14ac:dyDescent="0.3">
      <c r="B91" s="331">
        <v>8.6999999999999993</v>
      </c>
      <c r="C91" s="332">
        <v>15.838082570997406</v>
      </c>
      <c r="D91" s="385">
        <f t="shared" si="37"/>
        <v>6.3138956090000031E-2</v>
      </c>
      <c r="E91" s="332">
        <v>1.9514628774589571</v>
      </c>
      <c r="F91" s="385">
        <f t="shared" si="34"/>
        <v>0.51243608656400474</v>
      </c>
    </row>
    <row r="92" spans="2:6" x14ac:dyDescent="0.3">
      <c r="B92" s="331">
        <v>8.8000000000000007</v>
      </c>
      <c r="C92" s="332">
        <v>15.899872059199087</v>
      </c>
      <c r="D92" s="385">
        <f t="shared" si="37"/>
        <v>6.2893587840000029E-2</v>
      </c>
      <c r="E92" s="332">
        <v>1.9677392257079078</v>
      </c>
      <c r="F92" s="385">
        <f t="shared" si="34"/>
        <v>0.50819742114976796</v>
      </c>
    </row>
    <row r="93" spans="2:6" x14ac:dyDescent="0.3">
      <c r="B93" s="331">
        <v>8.9</v>
      </c>
      <c r="C93" s="332">
        <v>15.961874663956738</v>
      </c>
      <c r="D93" s="385">
        <f t="shared" si="37"/>
        <v>6.264928281000004E-2</v>
      </c>
      <c r="E93" s="332">
        <v>1.983999484724726</v>
      </c>
      <c r="F93" s="385">
        <f t="shared" si="34"/>
        <v>0.50403238896946945</v>
      </c>
    </row>
    <row r="94" spans="2:6" x14ac:dyDescent="0.3">
      <c r="B94" s="331">
        <v>9</v>
      </c>
      <c r="C94" s="332">
        <v>16.024089719134714</v>
      </c>
      <c r="D94" s="385">
        <f t="shared" si="37"/>
        <v>6.240604100000003E-2</v>
      </c>
      <c r="E94" s="332">
        <v>2.0002429330506182</v>
      </c>
      <c r="F94" s="385">
        <f t="shared" si="34"/>
        <v>0.49993927411350786</v>
      </c>
    </row>
    <row r="95" spans="2:6" x14ac:dyDescent="0.3">
      <c r="B95" s="337">
        <v>9.1</v>
      </c>
      <c r="C95" s="338">
        <v>16.086516526346571</v>
      </c>
      <c r="D95" s="384">
        <f t="shared" si="37"/>
        <v>6.2163862410000034E-2</v>
      </c>
      <c r="E95" s="338">
        <v>2.0164688270872078</v>
      </c>
      <c r="F95" s="384">
        <f t="shared" si="34"/>
        <v>0.49591641912188722</v>
      </c>
    </row>
    <row r="96" spans="2:6" x14ac:dyDescent="0.3">
      <c r="B96" s="337">
        <v>9.1999999999999993</v>
      </c>
      <c r="C96" s="338">
        <v>16.149154354441563</v>
      </c>
      <c r="D96" s="384">
        <f t="shared" si="37"/>
        <v>6.1922747040000038E-2</v>
      </c>
      <c r="E96" s="338">
        <v>2.0326764017647214</v>
      </c>
      <c r="F96" s="384">
        <f t="shared" si="34"/>
        <v>0.49196222238415505</v>
      </c>
    </row>
    <row r="97" spans="2:6" x14ac:dyDescent="0.3">
      <c r="B97" s="337">
        <v>9.3000000000000007</v>
      </c>
      <c r="C97" s="338">
        <v>16.212002438987458</v>
      </c>
      <c r="D97" s="384">
        <f t="shared" si="37"/>
        <v>6.1682694890000049E-2</v>
      </c>
      <c r="E97" s="338">
        <v>2.0488648711911406</v>
      </c>
      <c r="F97" s="384">
        <f t="shared" si="34"/>
        <v>0.48807513568165867</v>
      </c>
    </row>
    <row r="98" spans="2:6" x14ac:dyDescent="0.3">
      <c r="B98" s="337">
        <v>9.4</v>
      </c>
      <c r="C98" s="338">
        <v>16.275059981749827</v>
      </c>
      <c r="D98" s="384">
        <f t="shared" si="37"/>
        <v>6.1443705960000039E-2</v>
      </c>
      <c r="E98" s="338">
        <v>2.0650334292839196</v>
      </c>
      <c r="F98" s="384">
        <f t="shared" si="34"/>
        <v>0.4842536618628806</v>
      </c>
    </row>
    <row r="99" spans="2:6" x14ac:dyDescent="0.3">
      <c r="B99" s="337">
        <v>9.5</v>
      </c>
      <c r="C99" s="338">
        <v>16.338326150167809</v>
      </c>
      <c r="D99" s="384">
        <f t="shared" si="37"/>
        <v>6.1205780250000036E-2</v>
      </c>
      <c r="E99" s="338">
        <v>2.0811812503856317</v>
      </c>
      <c r="F99" s="384">
        <f t="shared" si="34"/>
        <v>0.48049635264333912</v>
      </c>
    </row>
    <row r="100" spans="2:6" x14ac:dyDescent="0.3">
      <c r="B100" s="337">
        <v>9.6</v>
      </c>
      <c r="C100" s="338">
        <v>16.401800076826547</v>
      </c>
      <c r="D100" s="384">
        <f t="shared" si="37"/>
        <v>6.096891776000004E-2</v>
      </c>
      <c r="E100" s="338">
        <v>2.0973074898649031</v>
      </c>
      <c r="F100" s="384">
        <f t="shared" si="34"/>
        <v>0.47680180652213972</v>
      </c>
    </row>
    <row r="101" spans="2:6" x14ac:dyDescent="0.3">
      <c r="B101" s="337">
        <v>9.6999999999999993</v>
      </c>
      <c r="C101" s="338">
        <v>16.465480858926323</v>
      </c>
      <c r="D101" s="384">
        <f t="shared" si="37"/>
        <v>6.0733118490000036E-2</v>
      </c>
      <c r="E101" s="338">
        <v>2.1134112847038145</v>
      </c>
      <c r="F101" s="384">
        <f t="shared" si="34"/>
        <v>0.47316866680786446</v>
      </c>
    </row>
    <row r="102" spans="2:6" x14ac:dyDescent="0.3">
      <c r="B102" s="337">
        <v>9.8000000000000007</v>
      </c>
      <c r="C102" s="338">
        <v>16.529367557748529</v>
      </c>
      <c r="D102" s="384">
        <f t="shared" si="37"/>
        <v>6.0498382440000047E-2</v>
      </c>
      <c r="E102" s="338">
        <v>2.1294917540729457</v>
      </c>
      <c r="F102" s="384">
        <f t="shared" si="34"/>
        <v>0.46959561974699482</v>
      </c>
    </row>
    <row r="103" spans="2:6" x14ac:dyDescent="0.3">
      <c r="B103" s="337">
        <v>9.9</v>
      </c>
      <c r="C103" s="338">
        <v>16.593459198118573</v>
      </c>
      <c r="D103" s="384">
        <f t="shared" si="37"/>
        <v>6.0264709610000043E-2</v>
      </c>
      <c r="E103" s="338">
        <v>2.1455479998950784</v>
      </c>
      <c r="F103" s="384">
        <f t="shared" si="34"/>
        <v>0.4660813927485668</v>
      </c>
    </row>
    <row r="104" spans="2:6" x14ac:dyDescent="0.3">
      <c r="B104" s="337">
        <v>10</v>
      </c>
      <c r="C104" s="338">
        <v>16.657754767865846</v>
      </c>
      <c r="D104" s="384">
        <f t="shared" si="37"/>
        <v>6.0032100000000047E-2</v>
      </c>
      <c r="E104" s="338">
        <v>2.1615791073985151</v>
      </c>
      <c r="F104" s="384">
        <f t="shared" si="34"/>
        <v>0.46262475269920206</v>
      </c>
    </row>
    <row r="105" spans="2:6" x14ac:dyDescent="0.3">
      <c r="B105" s="331">
        <v>10.1</v>
      </c>
      <c r="C105" s="332">
        <v>16.722253217280862</v>
      </c>
      <c r="D105" s="385">
        <f t="shared" si="37"/>
        <v>5.980055361000005E-2</v>
      </c>
      <c r="E105" s="332">
        <v>2.1775841456609606</v>
      </c>
      <c r="F105" s="385">
        <f t="shared" si="34"/>
        <v>0.45922450436305445</v>
      </c>
    </row>
    <row r="106" spans="2:6" x14ac:dyDescent="0.3">
      <c r="B106" s="331">
        <v>10.199999999999999</v>
      </c>
      <c r="C106" s="332">
        <v>16.786953458569709</v>
      </c>
      <c r="D106" s="385">
        <f t="shared" si="37"/>
        <v>5.9570070440000046E-2</v>
      </c>
      <c r="E106" s="332">
        <v>2.1935621681447413</v>
      </c>
      <c r="F106" s="385">
        <f t="shared" si="34"/>
        <v>0.45587948886161472</v>
      </c>
    </row>
    <row r="107" spans="2:6" x14ac:dyDescent="0.3">
      <c r="B107" s="331">
        <v>10.3</v>
      </c>
      <c r="C107" s="332">
        <v>16.851854365305918</v>
      </c>
      <c r="D107" s="385">
        <f t="shared" si="37"/>
        <v>5.9340650490000042E-2</v>
      </c>
      <c r="E107" s="332">
        <v>2.2095122132241745</v>
      </c>
      <c r="F107" s="385">
        <f t="shared" si="34"/>
        <v>0.4525885822286429</v>
      </c>
    </row>
    <row r="108" spans="2:6" x14ac:dyDescent="0.3">
      <c r="B108" s="331">
        <v>10.4</v>
      </c>
      <c r="C108" s="332">
        <v>16.916954771879912</v>
      </c>
      <c r="D108" s="385">
        <f t="shared" si="37"/>
        <v>5.9112293760000052E-2</v>
      </c>
      <c r="E108" s="332">
        <v>2.2254333047057613</v>
      </c>
      <c r="F108" s="385">
        <f t="shared" si="34"/>
        <v>0.44935069403583694</v>
      </c>
    </row>
    <row r="109" spans="2:6" x14ac:dyDescent="0.3">
      <c r="B109" s="331">
        <v>10.5</v>
      </c>
      <c r="C109" s="332">
        <v>16.98225347294618</v>
      </c>
      <c r="D109" s="385">
        <f t="shared" si="37"/>
        <v>5.8885000250000048E-2</v>
      </c>
      <c r="E109" s="332">
        <v>2.2413244523419023</v>
      </c>
      <c r="F109" s="385">
        <f t="shared" si="34"/>
        <v>0.4461647660851269</v>
      </c>
    </row>
    <row r="110" spans="2:6" x14ac:dyDescent="0.3">
      <c r="B110" s="331">
        <v>10.6</v>
      </c>
      <c r="C110" s="332">
        <v>17.04774922286828</v>
      </c>
      <c r="D110" s="385">
        <f t="shared" si="37"/>
        <v>5.8658769960000044E-2</v>
      </c>
      <c r="E110" s="332">
        <v>2.2571846523386951</v>
      </c>
      <c r="F110" s="385">
        <f t="shared" si="34"/>
        <v>0.44302977116377629</v>
      </c>
    </row>
    <row r="111" spans="2:6" x14ac:dyDescent="0.3">
      <c r="B111" s="331">
        <v>10.7</v>
      </c>
      <c r="C111" s="332">
        <v>17.113440735161884</v>
      </c>
      <c r="D111" s="385">
        <f t="shared" si="37"/>
        <v>5.8433602890000047E-2</v>
      </c>
      <c r="E111" s="332">
        <v>2.2730128878584139</v>
      </c>
      <c r="F111" s="385">
        <f t="shared" si="34"/>
        <v>0.43994471185870815</v>
      </c>
    </row>
    <row r="112" spans="2:6" x14ac:dyDescent="0.3">
      <c r="B112" s="331">
        <v>10.8</v>
      </c>
      <c r="C112" s="332">
        <v>17.179326681935986</v>
      </c>
      <c r="D112" s="385">
        <f t="shared" si="37"/>
        <v>5.820949904000005E-2</v>
      </c>
      <c r="E112" s="332">
        <v>2.2888081295171459</v>
      </c>
      <c r="F112" s="385">
        <f t="shared" si="34"/>
        <v>0.4369086194267246</v>
      </c>
    </row>
    <row r="113" spans="2:6" x14ac:dyDescent="0.3">
      <c r="B113" s="331">
        <v>10.9</v>
      </c>
      <c r="C113" s="332">
        <v>17.245405693332444</v>
      </c>
      <c r="D113" s="385">
        <f t="shared" si="37"/>
        <v>5.7986458410000059E-2</v>
      </c>
      <c r="E113" s="332">
        <v>2.3045693358781159</v>
      </c>
      <c r="F113" s="385">
        <f t="shared" si="34"/>
        <v>0.43392055271748525</v>
      </c>
    </row>
    <row r="114" spans="2:6" x14ac:dyDescent="0.3">
      <c r="B114" s="331">
        <v>11</v>
      </c>
      <c r="C114" s="332">
        <v>17.31167635696405</v>
      </c>
      <c r="D114" s="385">
        <f t="shared" si="37"/>
        <v>5.7764481000000055E-2</v>
      </c>
      <c r="E114" s="332">
        <v>2.320295453941053</v>
      </c>
      <c r="F114" s="385">
        <f t="shared" si="34"/>
        <v>0.43097959714634038</v>
      </c>
    </row>
    <row r="115" spans="2:6" x14ac:dyDescent="0.3">
      <c r="B115" s="337">
        <v>11.1</v>
      </c>
      <c r="C115" s="338">
        <v>17.378137217351249</v>
      </c>
      <c r="D115" s="384">
        <f t="shared" si="37"/>
        <v>5.7543566810000051E-2</v>
      </c>
      <c r="E115" s="338">
        <v>2.3359854196280709</v>
      </c>
      <c r="F115" s="384">
        <f t="shared" si="34"/>
        <v>0.42808486371426807</v>
      </c>
    </row>
    <row r="116" spans="2:6" x14ac:dyDescent="0.3">
      <c r="B116" s="337">
        <v>11.2</v>
      </c>
      <c r="C116" s="338">
        <v>17.444786775357777</v>
      </c>
      <c r="D116" s="384">
        <f t="shared" si="37"/>
        <v>5.7323715840000053E-2</v>
      </c>
      <c r="E116" s="338">
        <v>2.351638158266371</v>
      </c>
      <c r="F116" s="384">
        <f t="shared" si="34"/>
        <v>0.42523548807236594</v>
      </c>
    </row>
    <row r="117" spans="2:6" x14ac:dyDescent="0.3">
      <c r="B117" s="337">
        <v>11.3</v>
      </c>
      <c r="C117" s="338">
        <v>17.511623487625325</v>
      </c>
      <c r="D117" s="384">
        <f t="shared" si="37"/>
        <v>5.7104928090000048E-2</v>
      </c>
      <c r="E117" s="338">
        <v>2.3672525850681425</v>
      </c>
      <c r="F117" s="384">
        <f t="shared" si="34"/>
        <v>0.42243062962848743</v>
      </c>
    </row>
    <row r="118" spans="2:6" x14ac:dyDescent="0.3">
      <c r="B118" s="337">
        <v>11.4</v>
      </c>
      <c r="C118" s="338">
        <v>17.578645766007472</v>
      </c>
      <c r="D118" s="384">
        <f t="shared" si="37"/>
        <v>5.6887203560000044E-2</v>
      </c>
      <c r="E118" s="338">
        <v>2.3828276056079378</v>
      </c>
      <c r="F118" s="384">
        <f t="shared" si="34"/>
        <v>0.41966947069377564</v>
      </c>
    </row>
    <row r="119" spans="2:6" x14ac:dyDescent="0.3">
      <c r="B119" s="337">
        <v>11.5</v>
      </c>
      <c r="C119" s="338">
        <v>17.64585197700308</v>
      </c>
      <c r="D119" s="384">
        <f t="shared" si="37"/>
        <v>5.6670542250000053E-2</v>
      </c>
      <c r="E119" s="338">
        <v>2.3983621162977404</v>
      </c>
      <c r="F119" s="384">
        <f t="shared" si="34"/>
        <v>0.41695121566699095</v>
      </c>
    </row>
    <row r="120" spans="2:6" x14ac:dyDescent="0.3">
      <c r="B120" s="337">
        <v>11.6</v>
      </c>
      <c r="C120" s="338">
        <v>17.71324044118936</v>
      </c>
      <c r="D120" s="384">
        <f t="shared" si="37"/>
        <v>5.6454944160000055E-2</v>
      </c>
      <c r="E120" s="338">
        <v>2.4138550048601211</v>
      </c>
      <c r="F120" s="384">
        <f t="shared" si="34"/>
        <v>0.41427509025462295</v>
      </c>
    </row>
    <row r="121" spans="2:6" x14ac:dyDescent="0.3">
      <c r="B121" s="337">
        <v>11.7</v>
      </c>
      <c r="C121" s="338">
        <v>17.780809432654809</v>
      </c>
      <c r="D121" s="384">
        <f t="shared" si="37"/>
        <v>5.624040929000005E-2</v>
      </c>
      <c r="E121" s="338">
        <v>2.4293051507994923</v>
      </c>
      <c r="F121" s="384">
        <f t="shared" si="34"/>
        <v>0.41164034072495864</v>
      </c>
    </row>
    <row r="122" spans="2:6" x14ac:dyDescent="0.3">
      <c r="B122" s="337">
        <v>11.8</v>
      </c>
      <c r="C122" s="338">
        <v>17.848557178432266</v>
      </c>
      <c r="D122" s="384">
        <f t="shared" si="37"/>
        <v>5.6026937640000059E-2</v>
      </c>
      <c r="E122" s="338">
        <v>2.4447114258718385</v>
      </c>
      <c r="F122" s="384">
        <f t="shared" si="34"/>
        <v>0.40904623319432382</v>
      </c>
    </row>
    <row r="123" spans="2:6" x14ac:dyDescent="0.3">
      <c r="B123" s="337">
        <v>11.9</v>
      </c>
      <c r="C123" s="338">
        <v>17.916481857932329</v>
      </c>
      <c r="D123" s="384">
        <f t="shared" si="37"/>
        <v>5.5814529210000054E-2</v>
      </c>
      <c r="E123" s="338">
        <v>2.4600726945529918</v>
      </c>
      <c r="F123" s="384">
        <f t="shared" si="34"/>
        <v>0.40649205294386848</v>
      </c>
    </row>
    <row r="124" spans="2:6" x14ac:dyDescent="0.3">
      <c r="B124" s="337">
        <v>12</v>
      </c>
      <c r="C124" s="338">
        <v>17.984581602377286</v>
      </c>
      <c r="D124" s="384">
        <f t="shared" si="37"/>
        <v>5.5603184000000049E-2</v>
      </c>
      <c r="E124" s="338">
        <v>2.4753878145055999</v>
      </c>
      <c r="F124" s="384">
        <f t="shared" si="34"/>
        <v>0.40397710376534529</v>
      </c>
    </row>
    <row r="125" spans="2:6" x14ac:dyDescent="0.3">
      <c r="B125" s="331">
        <v>12.1</v>
      </c>
      <c r="C125" s="332">
        <v>18.05285449423593</v>
      </c>
      <c r="D125" s="385">
        <f t="shared" si="37"/>
        <v>5.5392902010000057E-2</v>
      </c>
      <c r="E125" s="332">
        <v>2.4906556370449735</v>
      </c>
      <c r="F125" s="385">
        <f t="shared" si="34"/>
        <v>0.40150070733441307</v>
      </c>
    </row>
    <row r="126" spans="2:6" x14ac:dyDescent="0.3">
      <c r="B126" s="331">
        <v>12.2</v>
      </c>
      <c r="C126" s="332">
        <v>18.121298566659412</v>
      </c>
      <c r="D126" s="385">
        <f t="shared" si="37"/>
        <v>5.5183683240000052E-2</v>
      </c>
      <c r="E126" s="332">
        <v>2.5058750076038732</v>
      </c>
      <c r="F126" s="385">
        <f t="shared" si="34"/>
        <v>0.39906220261009889</v>
      </c>
    </row>
    <row r="127" spans="2:6" x14ac:dyDescent="0.3">
      <c r="B127" s="331">
        <v>12.3</v>
      </c>
      <c r="C127" s="332">
        <v>18.189911802918413</v>
      </c>
      <c r="D127" s="385">
        <f t="shared" si="37"/>
        <v>5.4975527690000053E-2</v>
      </c>
      <c r="E127" s="332">
        <v>2.5210447661963307</v>
      </c>
      <c r="F127" s="385">
        <f t="shared" si="34"/>
        <v>0.39666094525912249</v>
      </c>
    </row>
    <row r="128" spans="2:6" x14ac:dyDescent="0.3">
      <c r="B128" s="331">
        <v>12.4</v>
      </c>
      <c r="C128" s="332">
        <v>18.25869213584193</v>
      </c>
      <c r="D128" s="385">
        <f t="shared" si="37"/>
        <v>5.4768435360000055E-2</v>
      </c>
      <c r="E128" s="332">
        <v>2.5361637478805816</v>
      </c>
      <c r="F128" s="385">
        <f t="shared" si="34"/>
        <v>0.39429630710386065</v>
      </c>
    </row>
    <row r="129" spans="2:6" x14ac:dyDescent="0.3">
      <c r="B129" s="331">
        <v>12.5</v>
      </c>
      <c r="C129" s="332">
        <v>18.32763744725791</v>
      </c>
      <c r="D129" s="385">
        <f t="shared" si="37"/>
        <v>5.4562406250000056E-2</v>
      </c>
      <c r="E129" s="332">
        <v>2.5512307832211611</v>
      </c>
      <c r="F129" s="385">
        <f t="shared" si="34"/>
        <v>0.3919676755928011</v>
      </c>
    </row>
    <row r="130" spans="2:6" x14ac:dyDescent="0.3">
      <c r="B130" s="331">
        <v>12.6</v>
      </c>
      <c r="C130" s="332">
        <v>18.396745567436042</v>
      </c>
      <c r="D130" s="385">
        <f t="shared" si="37"/>
        <v>5.4357440360000051E-2</v>
      </c>
      <c r="E130" s="332">
        <v>2.5662446987502214</v>
      </c>
      <c r="F130" s="385">
        <f t="shared" si="34"/>
        <v>0.3896744532923952</v>
      </c>
    </row>
    <row r="131" spans="2:6" x14ac:dyDescent="0.3">
      <c r="B131" s="331">
        <v>12.7</v>
      </c>
      <c r="C131" s="332">
        <v>18.466014274532963</v>
      </c>
      <c r="D131" s="385">
        <f t="shared" si="37"/>
        <v>5.4153537690000066E-2</v>
      </c>
      <c r="E131" s="332">
        <v>2.5812043174280483</v>
      </c>
      <c r="F131" s="385">
        <f t="shared" si="34"/>
        <v>0.38741605739929003</v>
      </c>
    </row>
    <row r="132" spans="2:6" x14ac:dyDescent="0.3">
      <c r="B132" s="331">
        <v>12.8</v>
      </c>
      <c r="C132" s="332">
        <v>18.535441294040218</v>
      </c>
      <c r="D132" s="385">
        <f t="shared" si="37"/>
        <v>5.395069824000006E-2</v>
      </c>
      <c r="E132" s="332">
        <v>2.5961084591028261</v>
      </c>
      <c r="F132" s="385">
        <f t="shared" si="34"/>
        <v>0.3851919192719645</v>
      </c>
    </row>
    <row r="133" spans="2:6" x14ac:dyDescent="0.3">
      <c r="B133" s="331">
        <v>12.9</v>
      </c>
      <c r="C133" s="332">
        <v>18.605024298235204</v>
      </c>
      <c r="D133" s="385">
        <f t="shared" si="37"/>
        <v>5.3748922010000054E-2</v>
      </c>
      <c r="E133" s="332">
        <v>2.6109559409696148</v>
      </c>
      <c r="F133" s="385">
        <f t="shared" ref="F133:F196" si="38">1/E133</f>
        <v>0.38300148398085804</v>
      </c>
    </row>
    <row r="134" spans="2:6" x14ac:dyDescent="0.3">
      <c r="B134" s="331">
        <v>13</v>
      </c>
      <c r="C134" s="332">
        <v>18.674760905635498</v>
      </c>
      <c r="D134" s="385">
        <f t="shared" ref="D134:D197" si="39">1/C134</f>
        <v>5.3548209000000055E-2</v>
      </c>
      <c r="E134" s="332">
        <v>2.6257455780285679</v>
      </c>
      <c r="F134" s="385">
        <f t="shared" si="38"/>
        <v>0.38084420987611772</v>
      </c>
    </row>
    <row r="135" spans="2:6" x14ac:dyDescent="0.3">
      <c r="B135" s="337">
        <v>13.1</v>
      </c>
      <c r="C135" s="338">
        <v>18.74464868045682</v>
      </c>
      <c r="D135" s="384">
        <f t="shared" si="39"/>
        <v>5.3348559210000056E-2</v>
      </c>
      <c r="E135" s="338">
        <v>2.6404761835423067</v>
      </c>
      <c r="F135" s="384">
        <f t="shared" si="38"/>
        <v>0.37871956817215413</v>
      </c>
    </row>
    <row r="136" spans="2:6" x14ac:dyDescent="0.3">
      <c r="B136" s="337">
        <v>13.2</v>
      </c>
      <c r="C136" s="338">
        <v>18.814685132074956</v>
      </c>
      <c r="D136" s="384">
        <f t="shared" si="39"/>
        <v>5.314997264000007E-2</v>
      </c>
      <c r="E136" s="338">
        <v>2.6551465694924077</v>
      </c>
      <c r="F136" s="384">
        <f t="shared" si="38"/>
        <v>0.37662704254822849</v>
      </c>
    </row>
    <row r="137" spans="2:6" x14ac:dyDescent="0.3">
      <c r="B137" s="337">
        <v>13.3</v>
      </c>
      <c r="C137" s="338">
        <v>18.884867714492056</v>
      </c>
      <c r="D137" s="384">
        <f t="shared" si="39"/>
        <v>5.2952449290000064E-2</v>
      </c>
      <c r="E137" s="338">
        <v>2.6697555470350274</v>
      </c>
      <c r="F137" s="384">
        <f t="shared" si="38"/>
        <v>0.3745661287643276</v>
      </c>
    </row>
    <row r="138" spans="2:6" x14ac:dyDescent="0.3">
      <c r="B138" s="337">
        <v>13.4</v>
      </c>
      <c r="C138" s="338">
        <v>18.955193825807488</v>
      </c>
      <c r="D138" s="384">
        <f t="shared" si="39"/>
        <v>5.2755989160000065E-2</v>
      </c>
      <c r="E138" s="338">
        <v>2.684301926955464</v>
      </c>
      <c r="F138" s="384">
        <f t="shared" si="38"/>
        <v>0.37253633429164962</v>
      </c>
    </row>
    <row r="139" spans="2:6" x14ac:dyDescent="0.3">
      <c r="B139" s="337">
        <v>13.5</v>
      </c>
      <c r="C139" s="338">
        <v>19.025660807693786</v>
      </c>
      <c r="D139" s="384">
        <f t="shared" si="39"/>
        <v>5.2560592250000066E-2</v>
      </c>
      <c r="E139" s="338">
        <v>2.6987845201217717</v>
      </c>
      <c r="F139" s="384">
        <f t="shared" si="38"/>
        <v>0.37053717795701563</v>
      </c>
    </row>
    <row r="140" spans="2:6" x14ac:dyDescent="0.3">
      <c r="B140" s="337">
        <v>13.6</v>
      </c>
      <c r="C140" s="338">
        <v>19.096265944877899</v>
      </c>
      <c r="D140" s="384">
        <f t="shared" si="39"/>
        <v>5.2366258560000066E-2</v>
      </c>
      <c r="E140" s="338">
        <v>2.7132021379370994</v>
      </c>
      <c r="F140" s="384">
        <f t="shared" si="38"/>
        <v>0.36856818960061688</v>
      </c>
    </row>
    <row r="141" spans="2:6" x14ac:dyDescent="0.3">
      <c r="B141" s="337">
        <v>13.7</v>
      </c>
      <c r="C141" s="338">
        <v>19.167006464628177</v>
      </c>
      <c r="D141" s="384">
        <f t="shared" si="39"/>
        <v>5.2172988090000059E-2</v>
      </c>
      <c r="E141" s="338">
        <v>2.7275535927908958</v>
      </c>
      <c r="F141" s="384">
        <f t="shared" si="38"/>
        <v>0.36662890974647244</v>
      </c>
    </row>
    <row r="142" spans="2:6" x14ac:dyDescent="0.3">
      <c r="B142" s="337">
        <v>13.8</v>
      </c>
      <c r="C142" s="338">
        <v>19.237879536247434</v>
      </c>
      <c r="D142" s="384">
        <f t="shared" si="39"/>
        <v>5.1980780840000067E-2</v>
      </c>
      <c r="E142" s="338">
        <v>2.7418376985087232</v>
      </c>
      <c r="F142" s="384">
        <f t="shared" si="38"/>
        <v>0.36471888928505752</v>
      </c>
    </row>
    <row r="143" spans="2:6" x14ac:dyDescent="0.3">
      <c r="B143" s="337">
        <v>13.9</v>
      </c>
      <c r="C143" s="338">
        <v>19.308882270572518</v>
      </c>
      <c r="D143" s="384">
        <f t="shared" si="39"/>
        <v>5.178963681000006E-2</v>
      </c>
      <c r="E143" s="338">
        <v>2.7560532708006589</v>
      </c>
      <c r="F143" s="384">
        <f t="shared" si="38"/>
        <v>0.36283768916755765</v>
      </c>
    </row>
    <row r="144" spans="2:6" x14ac:dyDescent="0.3">
      <c r="B144" s="337">
        <v>14</v>
      </c>
      <c r="C144" s="338">
        <v>19.380011719480663</v>
      </c>
      <c r="D144" s="384">
        <f t="shared" si="39"/>
        <v>5.159955600000006E-2</v>
      </c>
      <c r="E144" s="338">
        <v>2.7701991277080751</v>
      </c>
      <c r="F144" s="384">
        <f t="shared" si="38"/>
        <v>0.36098488011125401</v>
      </c>
    </row>
    <row r="145" spans="2:6" x14ac:dyDescent="0.3">
      <c r="B145" s="331">
        <v>14.1</v>
      </c>
      <c r="C145" s="332">
        <v>19.451264875403176</v>
      </c>
      <c r="D145" s="385">
        <f t="shared" si="39"/>
        <v>5.141053841000006E-2</v>
      </c>
      <c r="E145" s="332">
        <v>2.7842740900487879</v>
      </c>
      <c r="F145" s="385">
        <f t="shared" si="38"/>
        <v>0.35916004231554566</v>
      </c>
    </row>
    <row r="146" spans="2:6" x14ac:dyDescent="0.3">
      <c r="B146" s="331">
        <v>14.2</v>
      </c>
      <c r="C146" s="332">
        <v>19.522638670846696</v>
      </c>
      <c r="D146" s="385">
        <f t="shared" si="39"/>
        <v>5.122258404000006E-2</v>
      </c>
      <c r="E146" s="332">
        <v>2.7982769818603406</v>
      </c>
      <c r="F146" s="385">
        <f t="shared" si="38"/>
        <v>0.35736276518816357</v>
      </c>
    </row>
    <row r="147" spans="2:6" x14ac:dyDescent="0.3">
      <c r="B147" s="331">
        <v>14.3</v>
      </c>
      <c r="C147" s="332">
        <v>19.59412997792257</v>
      </c>
      <c r="D147" s="385">
        <f t="shared" si="39"/>
        <v>5.103569289000006E-2</v>
      </c>
      <c r="E147" s="332">
        <v>2.8122066308413558</v>
      </c>
      <c r="F147" s="385">
        <f t="shared" si="38"/>
        <v>0.35559264708113575</v>
      </c>
    </row>
    <row r="148" spans="2:6" x14ac:dyDescent="0.3">
      <c r="B148" s="331">
        <v>14.4</v>
      </c>
      <c r="C148" s="332">
        <v>19.665735607884663</v>
      </c>
      <c r="D148" s="385">
        <f t="shared" si="39"/>
        <v>5.0849864960000067E-2</v>
      </c>
      <c r="E148" s="332">
        <v>2.8260618687907582</v>
      </c>
      <c r="F148" s="385">
        <f t="shared" si="38"/>
        <v>0.35384929503609536</v>
      </c>
    </row>
    <row r="149" spans="2:6" x14ac:dyDescent="0.3">
      <c r="B149" s="331">
        <v>14.5</v>
      </c>
      <c r="C149" s="332">
        <v>19.737452310676098</v>
      </c>
      <c r="D149" s="385">
        <f t="shared" si="39"/>
        <v>5.0665100250000067E-2</v>
      </c>
      <c r="E149" s="332">
        <v>2.8398415320447676</v>
      </c>
      <c r="F149" s="385">
        <f t="shared" si="38"/>
        <v>0.35213232453853549</v>
      </c>
    </row>
    <row r="150" spans="2:6" x14ac:dyDescent="0.3">
      <c r="B150" s="331">
        <v>14.6</v>
      </c>
      <c r="C150" s="332">
        <v>19.809276774485294</v>
      </c>
      <c r="D150" s="385">
        <f t="shared" si="39"/>
        <v>5.0481398760000067E-2</v>
      </c>
      <c r="E150" s="332">
        <v>2.8535444619114796</v>
      </c>
      <c r="F150" s="385">
        <f t="shared" si="38"/>
        <v>0.35044135928063952</v>
      </c>
    </row>
    <row r="151" spans="2:6" x14ac:dyDescent="0.3">
      <c r="B151" s="331">
        <v>14.7</v>
      </c>
      <c r="C151" s="332">
        <v>19.881205625311797</v>
      </c>
      <c r="D151" s="385">
        <f t="shared" si="39"/>
        <v>5.0298760490000066E-2</v>
      </c>
      <c r="E151" s="332">
        <v>2.8671695051028663</v>
      </c>
      <c r="F151" s="385">
        <f t="shared" si="38"/>
        <v>0.34877603093233328</v>
      </c>
    </row>
    <row r="152" spans="2:6" x14ac:dyDescent="0.3">
      <c r="B152" s="331">
        <v>14.8</v>
      </c>
      <c r="C152" s="332">
        <v>19.953235426542314</v>
      </c>
      <c r="D152" s="385">
        <f t="shared" si="39"/>
        <v>5.0117185440000066E-2</v>
      </c>
      <c r="E152" s="332">
        <v>2.8807155141640806</v>
      </c>
      <c r="F152" s="385">
        <f t="shared" si="38"/>
        <v>0.34713597892021547</v>
      </c>
    </row>
    <row r="153" spans="2:6" x14ac:dyDescent="0.3">
      <c r="B153" s="331">
        <v>14.9</v>
      </c>
      <c r="C153" s="332">
        <v>20.025362678537423</v>
      </c>
      <c r="D153" s="385">
        <f t="shared" si="39"/>
        <v>4.9936673610000065E-2</v>
      </c>
      <c r="E153" s="332">
        <v>2.8941813478998228</v>
      </c>
      <c r="F153" s="385">
        <f t="shared" si="38"/>
        <v>0.34552085021405277</v>
      </c>
    </row>
    <row r="154" spans="2:6" x14ac:dyDescent="0.3">
      <c r="B154" s="331">
        <v>15</v>
      </c>
      <c r="C154" s="332">
        <v>20.097583818229385</v>
      </c>
      <c r="D154" s="385">
        <f t="shared" si="39"/>
        <v>4.9757225000000072E-2</v>
      </c>
      <c r="E154" s="332">
        <v>2.907565871797734</v>
      </c>
      <c r="F154" s="385">
        <f t="shared" si="38"/>
        <v>0.34393029912051654</v>
      </c>
    </row>
    <row r="155" spans="2:6" x14ac:dyDescent="0.3">
      <c r="B155" s="337">
        <v>15.1</v>
      </c>
      <c r="C155" s="338">
        <v>20.169895218731575</v>
      </c>
      <c r="D155" s="384">
        <f t="shared" si="39"/>
        <v>4.9578839610000064E-2</v>
      </c>
      <c r="E155" s="338">
        <v>2.9208679584484289</v>
      </c>
      <c r="F155" s="384">
        <f t="shared" si="38"/>
        <v>0.34236398708389476</v>
      </c>
    </row>
    <row r="156" spans="2:6" x14ac:dyDescent="0.3">
      <c r="B156" s="337">
        <v>15.2</v>
      </c>
      <c r="C156" s="338">
        <v>20.242293188959962</v>
      </c>
      <c r="D156" s="384">
        <f t="shared" si="39"/>
        <v>4.9401517440000056E-2</v>
      </c>
      <c r="E156" s="338">
        <v>2.9340864879622188</v>
      </c>
      <c r="F156" s="384">
        <f t="shared" si="38"/>
        <v>0.34082158249347305</v>
      </c>
    </row>
    <row r="157" spans="2:6" x14ac:dyDescent="0.3">
      <c r="B157" s="337">
        <v>15.3</v>
      </c>
      <c r="C157" s="338">
        <v>20.314773973267126</v>
      </c>
      <c r="D157" s="384">
        <f t="shared" si="39"/>
        <v>4.9225258490000069E-2</v>
      </c>
      <c r="E157" s="338">
        <v>2.9472203483822348</v>
      </c>
      <c r="F157" s="384">
        <f t="shared" si="38"/>
        <v>0.33930276049733171</v>
      </c>
    </row>
    <row r="158" spans="2:6" x14ac:dyDescent="0.3">
      <c r="B158" s="337">
        <v>15.4</v>
      </c>
      <c r="C158" s="338">
        <v>20.387333751089351</v>
      </c>
      <c r="D158" s="384">
        <f t="shared" si="39"/>
        <v>4.9050062760000054E-2</v>
      </c>
      <c r="E158" s="338">
        <v>2.9602684360937217</v>
      </c>
      <c r="F158" s="384">
        <f t="shared" si="38"/>
        <v>0.33780720282231191</v>
      </c>
    </row>
    <row r="159" spans="2:6" x14ac:dyDescent="0.3">
      <c r="B159" s="337">
        <v>15.5</v>
      </c>
      <c r="C159" s="338">
        <v>20.459968636607151</v>
      </c>
      <c r="D159" s="384">
        <f t="shared" si="39"/>
        <v>4.887593025000006E-2</v>
      </c>
      <c r="E159" s="338">
        <v>2.9732296562294804</v>
      </c>
      <c r="F159" s="384">
        <f t="shared" si="38"/>
        <v>0.33633459759988948</v>
      </c>
    </row>
    <row r="160" spans="2:6" x14ac:dyDescent="0.3">
      <c r="B160" s="337">
        <v>15.6</v>
      </c>
      <c r="C160" s="338">
        <v>20.53267467841993</v>
      </c>
      <c r="D160" s="384">
        <f t="shared" si="39"/>
        <v>4.8702860960000073E-2</v>
      </c>
      <c r="E160" s="338">
        <v>2.9861029230710723</v>
      </c>
      <c r="F160" s="384">
        <f t="shared" si="38"/>
        <v>0.33488463919774913</v>
      </c>
    </row>
    <row r="161" spans="2:6" x14ac:dyDescent="0.3">
      <c r="B161" s="337">
        <v>15.7</v>
      </c>
      <c r="C161" s="338">
        <v>20.605447859235074</v>
      </c>
      <c r="D161" s="384">
        <f t="shared" si="39"/>
        <v>4.8530854890000072E-2</v>
      </c>
      <c r="E161" s="338">
        <v>2.9988871604458449</v>
      </c>
      <c r="F161" s="384">
        <f t="shared" si="38"/>
        <v>0.33345702805681088</v>
      </c>
    </row>
    <row r="162" spans="2:6" x14ac:dyDescent="0.3">
      <c r="B162" s="337">
        <v>15.8</v>
      </c>
      <c r="C162" s="338">
        <v>20.678284095572117</v>
      </c>
      <c r="D162" s="384">
        <f t="shared" si="39"/>
        <v>4.8359912040000071E-2</v>
      </c>
      <c r="E162" s="338">
        <v>3.0115813021193159</v>
      </c>
      <c r="F162" s="384">
        <f t="shared" si="38"/>
        <v>0.33205147053352935</v>
      </c>
    </row>
    <row r="163" spans="2:6" x14ac:dyDescent="0.3">
      <c r="B163" s="337">
        <v>15.9</v>
      </c>
      <c r="C163" s="338">
        <v>20.751179237482457</v>
      </c>
      <c r="D163" s="384">
        <f t="shared" si="39"/>
        <v>4.8190032410000062E-2</v>
      </c>
      <c r="E163" s="338">
        <v>3.0241842921830084</v>
      </c>
      <c r="F163" s="384">
        <f t="shared" si="38"/>
        <v>0.33066767874723324</v>
      </c>
    </row>
    <row r="164" spans="2:6" x14ac:dyDescent="0.3">
      <c r="B164" s="337">
        <v>16</v>
      </c>
      <c r="C164" s="338">
        <v>20.824129068285121</v>
      </c>
      <c r="D164" s="384">
        <f t="shared" si="39"/>
        <v>4.8021216000000068E-2</v>
      </c>
      <c r="E164" s="338">
        <v>3.0366950854373291</v>
      </c>
      <c r="F164" s="384">
        <f t="shared" si="38"/>
        <v>0.32930537043233798</v>
      </c>
    </row>
    <row r="165" spans="2:6" x14ac:dyDescent="0.3">
      <c r="B165" s="331">
        <v>16.100000000000001</v>
      </c>
      <c r="C165" s="332">
        <v>20.897129304319169</v>
      </c>
      <c r="D165" s="385">
        <f t="shared" si="39"/>
        <v>4.7853462810000073E-2</v>
      </c>
      <c r="E165" s="332">
        <v>3.0491126477694506</v>
      </c>
      <c r="F165" s="385">
        <f t="shared" si="38"/>
        <v>0.32796426879523144</v>
      </c>
    </row>
    <row r="166" spans="2:6" x14ac:dyDescent="0.3">
      <c r="B166" s="331">
        <v>16.2</v>
      </c>
      <c r="C166" s="332">
        <v>20.970175594713169</v>
      </c>
      <c r="D166" s="385">
        <f t="shared" si="39"/>
        <v>4.7686772840000058E-2</v>
      </c>
      <c r="E166" s="332">
        <v>3.0614359565259757</v>
      </c>
      <c r="F166" s="385">
        <f t="shared" si="38"/>
        <v>0.32664410237566083</v>
      </c>
    </row>
    <row r="167" spans="2:6" x14ac:dyDescent="0.3">
      <c r="B167" s="331">
        <v>16.3</v>
      </c>
      <c r="C167" s="332">
        <v>21.043263521172342</v>
      </c>
      <c r="D167" s="385">
        <f t="shared" si="39"/>
        <v>4.7521146090000063E-2</v>
      </c>
      <c r="E167" s="332">
        <v>3.073664000880143</v>
      </c>
      <c r="F167" s="385">
        <f t="shared" si="38"/>
        <v>0.32534460491245959</v>
      </c>
    </row>
    <row r="168" spans="2:6" x14ac:dyDescent="0.3">
      <c r="B168" s="331">
        <v>16.399999999999999</v>
      </c>
      <c r="C168" s="332">
        <v>21.11638859778396</v>
      </c>
      <c r="D168" s="385">
        <f t="shared" si="39"/>
        <v>4.7356582560000061E-2</v>
      </c>
      <c r="E168" s="332">
        <v>3.0857957821934758</v>
      </c>
      <c r="F168" s="385">
        <f t="shared" si="38"/>
        <v>0.32406551521344362</v>
      </c>
    </row>
    <row r="169" spans="2:6" x14ac:dyDescent="0.3">
      <c r="B169" s="331">
        <v>16.5</v>
      </c>
      <c r="C169" s="332">
        <v>21.189546270841394</v>
      </c>
      <c r="D169" s="385">
        <f t="shared" si="39"/>
        <v>4.719308225000006E-2</v>
      </c>
      <c r="E169" s="332">
        <v>3.0978303143716763</v>
      </c>
      <c r="F169" s="385">
        <f t="shared" si="38"/>
        <v>0.32280657702932547</v>
      </c>
    </row>
    <row r="170" spans="2:6" x14ac:dyDescent="0.3">
      <c r="B170" s="331">
        <v>16.600000000000001</v>
      </c>
      <c r="C170" s="332">
        <v>21.262731918687525</v>
      </c>
      <c r="D170" s="385">
        <f t="shared" si="39"/>
        <v>4.7030645160000051E-2</v>
      </c>
      <c r="E170" s="332">
        <v>3.1097666242145321</v>
      </c>
      <c r="F170" s="385">
        <f t="shared" si="38"/>
        <v>0.32156753893150453</v>
      </c>
    </row>
    <row r="171" spans="2:6" x14ac:dyDescent="0.3">
      <c r="B171" s="331">
        <v>16.7</v>
      </c>
      <c r="C171" s="332">
        <v>21.335940851577913</v>
      </c>
      <c r="D171" s="385">
        <f t="shared" si="39"/>
        <v>4.6869271290000056E-2</v>
      </c>
      <c r="E171" s="332">
        <v>3.1216037517597499</v>
      </c>
      <c r="F171" s="385">
        <f t="shared" si="38"/>
        <v>0.32034815419358315</v>
      </c>
    </row>
    <row r="172" spans="2:6" x14ac:dyDescent="0.3">
      <c r="B172" s="331">
        <v>16.8</v>
      </c>
      <c r="C172" s="332">
        <v>21.409168311564446</v>
      </c>
      <c r="D172" s="385">
        <f t="shared" si="39"/>
        <v>4.6708960640000047E-2</v>
      </c>
      <c r="E172" s="332">
        <v>3.13334075062048</v>
      </c>
      <c r="F172" s="385">
        <f t="shared" si="38"/>
        <v>0.31914818067647921</v>
      </c>
    </row>
    <row r="173" spans="2:6" x14ac:dyDescent="0.3">
      <c r="B173" s="331">
        <v>16.899999999999999</v>
      </c>
      <c r="C173" s="332">
        <v>21.482409472399819</v>
      </c>
      <c r="D173" s="385">
        <f t="shared" si="39"/>
        <v>4.6549713210000045E-2</v>
      </c>
      <c r="E173" s="332">
        <v>3.144976688316377</v>
      </c>
      <c r="F173" s="385">
        <f t="shared" si="38"/>
        <v>0.31796738071700531</v>
      </c>
    </row>
    <row r="174" spans="2:6" x14ac:dyDescent="0.3">
      <c r="B174" s="331">
        <v>17</v>
      </c>
      <c r="C174" s="332">
        <v>21.555659439463593</v>
      </c>
      <c r="D174" s="385">
        <f t="shared" si="39"/>
        <v>4.6391529000000042E-2</v>
      </c>
      <c r="E174" s="332">
        <v>3.1565106465980306</v>
      </c>
      <c r="F174" s="385">
        <f t="shared" si="38"/>
        <v>0.31680552101978893</v>
      </c>
    </row>
    <row r="175" spans="2:6" x14ac:dyDescent="0.3">
      <c r="B175" s="337">
        <v>17.100000000000001</v>
      </c>
      <c r="C175" s="338">
        <v>21.628913249710259</v>
      </c>
      <c r="D175" s="384">
        <f t="shared" si="39"/>
        <v>4.623440801000004E-2</v>
      </c>
      <c r="E175" s="338">
        <v>3.1679417217646315</v>
      </c>
      <c r="F175" s="384">
        <f t="shared" si="38"/>
        <v>0.31566237255241308</v>
      </c>
    </row>
    <row r="176" spans="2:6" x14ac:dyDescent="0.3">
      <c r="B176" s="337">
        <v>17.2</v>
      </c>
      <c r="C176" s="338">
        <v>21.702165871639924</v>
      </c>
      <c r="D176" s="384">
        <f t="shared" si="39"/>
        <v>4.6078350240000031E-2</v>
      </c>
      <c r="E176" s="338">
        <v>3.17926902497467</v>
      </c>
      <c r="F176" s="384">
        <f t="shared" si="38"/>
        <v>0.3145377104436663</v>
      </c>
    </row>
    <row r="177" spans="2:6" x14ac:dyDescent="0.3">
      <c r="B177" s="337">
        <v>17.3</v>
      </c>
      <c r="C177" s="338">
        <v>21.775412205292159</v>
      </c>
      <c r="D177" s="384">
        <f t="shared" si="39"/>
        <v>4.5923355690000042E-2</v>
      </c>
      <c r="E177" s="338">
        <v>3.1904916825495295</v>
      </c>
      <c r="F177" s="384">
        <f t="shared" si="38"/>
        <v>0.31343131388479206</v>
      </c>
    </row>
    <row r="178" spans="2:6" x14ac:dyDescent="0.3">
      <c r="B178" s="337">
        <v>17.399999999999999</v>
      </c>
      <c r="C178" s="338">
        <v>21.848647082263618</v>
      </c>
      <c r="D178" s="384">
        <f t="shared" si="39"/>
        <v>4.5769424360000033E-2</v>
      </c>
      <c r="E178" s="338">
        <v>3.2016088362698385</v>
      </c>
      <c r="F178" s="384">
        <f t="shared" si="38"/>
        <v>0.31234296603363004</v>
      </c>
    </row>
    <row r="179" spans="2:6" x14ac:dyDescent="0.3">
      <c r="B179" s="337">
        <v>17.5</v>
      </c>
      <c r="C179" s="338">
        <v>21.921865265749851</v>
      </c>
      <c r="D179" s="384">
        <f t="shared" si="39"/>
        <v>4.561655625000003E-2</v>
      </c>
      <c r="E179" s="338">
        <v>3.2126196436644516</v>
      </c>
      <c r="F179" s="384">
        <f t="shared" si="38"/>
        <v>0.31127245392154707</v>
      </c>
    </row>
    <row r="180" spans="2:6" x14ac:dyDescent="0.3">
      <c r="B180" s="337">
        <v>17.600000000000001</v>
      </c>
      <c r="C180" s="338">
        <v>21.995061450612081</v>
      </c>
      <c r="D180" s="384">
        <f t="shared" si="39"/>
        <v>4.5464751360000034E-2</v>
      </c>
      <c r="E180" s="338">
        <v>3.2235232782917747</v>
      </c>
      <c r="F180" s="384">
        <f t="shared" si="38"/>
        <v>0.31021956836307535</v>
      </c>
    </row>
    <row r="181" spans="2:6" x14ac:dyDescent="0.3">
      <c r="B181" s="337">
        <v>17.7</v>
      </c>
      <c r="C181" s="338">
        <v>22.068230263469307</v>
      </c>
      <c r="D181" s="384">
        <f t="shared" si="39"/>
        <v>4.5314009690000025E-2</v>
      </c>
      <c r="E181" s="338">
        <v>3.2343189300135671</v>
      </c>
      <c r="F181" s="384">
        <f t="shared" si="38"/>
        <v>0.3091841038681381</v>
      </c>
    </row>
    <row r="182" spans="2:6" x14ac:dyDescent="0.3">
      <c r="B182" s="337">
        <v>17.8</v>
      </c>
      <c r="C182" s="338">
        <v>22.141366262816369</v>
      </c>
      <c r="D182" s="384">
        <f t="shared" si="39"/>
        <v>4.5164331240000029E-2</v>
      </c>
      <c r="E182" s="338">
        <v>3.24500580526075</v>
      </c>
      <c r="F182" s="384">
        <f t="shared" si="38"/>
        <v>0.30816585855680639</v>
      </c>
    </row>
    <row r="183" spans="2:6" x14ac:dyDescent="0.3">
      <c r="B183" s="337">
        <v>17.899999999999999</v>
      </c>
      <c r="C183" s="338">
        <v>22.214463939168596</v>
      </c>
      <c r="D183" s="384">
        <f t="shared" si="39"/>
        <v>4.5015716010000026E-2</v>
      </c>
      <c r="E183" s="338">
        <v>3.2555831272914646</v>
      </c>
      <c r="F183" s="384">
        <f t="shared" si="38"/>
        <v>0.30716463407646616</v>
      </c>
    </row>
    <row r="184" spans="2:6" x14ac:dyDescent="0.3">
      <c r="B184" s="337">
        <v>18</v>
      </c>
      <c r="C184" s="338">
        <v>22.287517715233445</v>
      </c>
      <c r="D184" s="384">
        <f t="shared" si="39"/>
        <v>4.4868164000000023E-2</v>
      </c>
      <c r="E184" s="338">
        <v>3.2660501364408749</v>
      </c>
      <c r="F184" s="384">
        <f t="shared" si="38"/>
        <v>0.30618023552134865</v>
      </c>
    </row>
    <row r="185" spans="2:6" x14ac:dyDescent="0.3">
      <c r="B185" s="331">
        <v>18.100000000000001</v>
      </c>
      <c r="C185" s="332">
        <v>22.360521946109802</v>
      </c>
      <c r="D185" s="385">
        <f t="shared" si="39"/>
        <v>4.4721675210000013E-2</v>
      </c>
      <c r="E185" s="332">
        <v>3.2764060903629262</v>
      </c>
      <c r="F185" s="385">
        <f t="shared" si="38"/>
        <v>0.30521247135431567</v>
      </c>
    </row>
    <row r="186" spans="2:6" x14ac:dyDescent="0.3">
      <c r="B186" s="331">
        <v>18.2</v>
      </c>
      <c r="C186" s="332">
        <v>22.433470919515415</v>
      </c>
      <c r="D186" s="385">
        <f t="shared" si="39"/>
        <v>4.4576249640000024E-2</v>
      </c>
      <c r="E186" s="332">
        <v>3.2866502642636815</v>
      </c>
      <c r="F186" s="385">
        <f t="shared" si="38"/>
        <v>0.30426115333084675</v>
      </c>
    </row>
    <row r="187" spans="2:6" x14ac:dyDescent="0.3">
      <c r="B187" s="331">
        <v>18.3</v>
      </c>
      <c r="C187" s="332">
        <v>22.506358856043082</v>
      </c>
      <c r="D187" s="385">
        <f t="shared" si="39"/>
        <v>4.443188729000002E-2</v>
      </c>
      <c r="E187" s="332">
        <v>3.2967819511264023</v>
      </c>
      <c r="F187" s="385">
        <f t="shared" si="38"/>
        <v>0.30332609642513142</v>
      </c>
    </row>
    <row r="188" spans="2:6" x14ac:dyDescent="0.3">
      <c r="B188" s="331">
        <v>18.399999999999999</v>
      </c>
      <c r="C188" s="332">
        <v>22.579179909445998</v>
      </c>
      <c r="D188" s="385">
        <f t="shared" si="39"/>
        <v>4.4288588160000003E-2</v>
      </c>
      <c r="E188" s="332">
        <v>3.3068004619279718</v>
      </c>
      <c r="F188" s="385">
        <f t="shared" si="38"/>
        <v>0.30240711875822335</v>
      </c>
    </row>
    <row r="189" spans="2:6" x14ac:dyDescent="0.3">
      <c r="B189" s="331">
        <v>18.5</v>
      </c>
      <c r="C189" s="332">
        <v>22.651928166952906</v>
      </c>
      <c r="D189" s="385">
        <f t="shared" si="39"/>
        <v>4.4146352250000007E-2</v>
      </c>
      <c r="E189" s="332">
        <v>3.3167051258467968</v>
      </c>
      <c r="F189" s="385">
        <f t="shared" si="38"/>
        <v>0.3015040415281679</v>
      </c>
    </row>
    <row r="190" spans="2:6" x14ac:dyDescent="0.3">
      <c r="B190" s="331">
        <v>18.600000000000001</v>
      </c>
      <c r="C190" s="332">
        <v>22.724597649613585</v>
      </c>
      <c r="D190" s="385">
        <f t="shared" si="39"/>
        <v>4.400517956000001E-2</v>
      </c>
      <c r="E190" s="332">
        <v>3.3264952904620029</v>
      </c>
      <c r="F190" s="385">
        <f t="shared" si="38"/>
        <v>0.30061668894204696</v>
      </c>
    </row>
    <row r="191" spans="2:6" x14ac:dyDescent="0.3">
      <c r="B191" s="331">
        <v>18.7</v>
      </c>
      <c r="C191" s="332">
        <v>22.797182312675062</v>
      </c>
      <c r="D191" s="385">
        <f t="shared" si="39"/>
        <v>4.3865070090000007E-2</v>
      </c>
      <c r="E191" s="332">
        <v>3.336170321943873</v>
      </c>
      <c r="F191" s="385">
        <f t="shared" si="38"/>
        <v>0.29974488814987538</v>
      </c>
    </row>
    <row r="192" spans="2:6" x14ac:dyDescent="0.3">
      <c r="B192" s="331">
        <v>18.8</v>
      </c>
      <c r="C192" s="332">
        <v>22.869676045989177</v>
      </c>
      <c r="D192" s="385">
        <f t="shared" si="39"/>
        <v>4.3726023840000017E-2</v>
      </c>
      <c r="E192" s="332">
        <v>3.3457296052354177</v>
      </c>
      <c r="F192" s="385">
        <f t="shared" si="38"/>
        <v>0.29888846918029299</v>
      </c>
    </row>
    <row r="193" spans="2:6" x14ac:dyDescent="0.3">
      <c r="B193" s="331">
        <v>18.899999999999999</v>
      </c>
      <c r="C193" s="332">
        <v>22.942072674452007</v>
      </c>
      <c r="D193" s="385">
        <f t="shared" si="39"/>
        <v>4.3588040810000006E-2</v>
      </c>
      <c r="E193" s="332">
        <v>3.3551725442249793</v>
      </c>
      <c r="F193" s="385">
        <f t="shared" si="38"/>
        <v>0.29804726487799538</v>
      </c>
    </row>
    <row r="194" spans="2:6" x14ac:dyDescent="0.3">
      <c r="B194" s="331">
        <v>19</v>
      </c>
      <c r="C194" s="332">
        <v>23.014365958475501</v>
      </c>
      <c r="D194" s="385">
        <f t="shared" si="39"/>
        <v>4.3451121000000002E-2</v>
      </c>
      <c r="E194" s="332">
        <v>3.3644985619099699</v>
      </c>
      <c r="F194" s="385">
        <f t="shared" si="38"/>
        <v>0.29722111084283437</v>
      </c>
    </row>
    <row r="195" spans="2:6" x14ac:dyDescent="0.3">
      <c r="B195" s="337">
        <v>19.100000000000001</v>
      </c>
      <c r="C195" s="338">
        <v>23.08654959449202</v>
      </c>
      <c r="D195" s="384">
        <f t="shared" si="39"/>
        <v>4.3315264409999991E-2</v>
      </c>
      <c r="E195" s="338">
        <v>3.3737071005514454</v>
      </c>
      <c r="F195" s="384">
        <f t="shared" si="38"/>
        <v>0.29640984537055576</v>
      </c>
    </row>
    <row r="196" spans="2:6" x14ac:dyDescent="0.3">
      <c r="B196" s="337">
        <v>19.2</v>
      </c>
      <c r="C196" s="338">
        <v>23.15861721549205</v>
      </c>
      <c r="D196" s="384">
        <f t="shared" si="39"/>
        <v>4.3180471040000001E-2</v>
      </c>
      <c r="E196" s="338">
        <v>3.3827976218196381</v>
      </c>
      <c r="F196" s="384">
        <f t="shared" si="38"/>
        <v>0.29561330939510677</v>
      </c>
    </row>
    <row r="197" spans="2:6" x14ac:dyDescent="0.3">
      <c r="B197" s="337">
        <v>19.3</v>
      </c>
      <c r="C197" s="338">
        <v>23.230562391595729</v>
      </c>
      <c r="D197" s="384">
        <f t="shared" si="39"/>
        <v>4.3046740889999997E-2</v>
      </c>
      <c r="E197" s="338">
        <v>3.3917696069304029</v>
      </c>
      <c r="F197" s="384">
        <f t="shared" ref="F197:F260" si="40">1/E197</f>
        <v>0.29483134643246406</v>
      </c>
    </row>
    <row r="198" spans="2:6" x14ac:dyDescent="0.3">
      <c r="B198" s="337">
        <v>19.399999999999999</v>
      </c>
      <c r="C198" s="338">
        <v>23.302378630658449</v>
      </c>
      <c r="D198" s="384">
        <f t="shared" ref="D198:D261" si="41">1/C198</f>
        <v>4.2914073959999993E-2</v>
      </c>
      <c r="E198" s="338">
        <v>3.4006225567723956</v>
      </c>
      <c r="F198" s="384">
        <f t="shared" si="40"/>
        <v>0.29406380252594738</v>
      </c>
    </row>
    <row r="199" spans="2:6" x14ac:dyDescent="0.3">
      <c r="B199" s="337">
        <v>19.5</v>
      </c>
      <c r="C199" s="338">
        <v>23.374059378911163</v>
      </c>
      <c r="D199" s="384">
        <f t="shared" si="41"/>
        <v>4.2782470249999989E-2</v>
      </c>
      <c r="E199" s="338">
        <v>3.409355992025088</v>
      </c>
      <c r="F199" s="384">
        <f t="shared" si="40"/>
        <v>0.29331052619296011</v>
      </c>
    </row>
    <row r="200" spans="2:6" x14ac:dyDescent="0.3">
      <c r="B200" s="337">
        <v>19.600000000000001</v>
      </c>
      <c r="C200" s="338">
        <v>23.445598021635682</v>
      </c>
      <c r="D200" s="384">
        <f t="shared" si="41"/>
        <v>4.2651929759999999E-2</v>
      </c>
      <c r="E200" s="338">
        <v>3.4179694532676201</v>
      </c>
      <c r="F200" s="384">
        <f t="shared" si="40"/>
        <v>0.29257136837311049</v>
      </c>
    </row>
    <row r="201" spans="2:6" x14ac:dyDescent="0.3">
      <c r="B201" s="337">
        <v>19.7</v>
      </c>
      <c r="C201" s="338">
        <v>23.516987883875466</v>
      </c>
      <c r="D201" s="384">
        <f t="shared" si="41"/>
        <v>4.2522452489999994E-2</v>
      </c>
      <c r="E201" s="338">
        <v>3.4264625010782774</v>
      </c>
      <c r="F201" s="384">
        <f t="shared" si="40"/>
        <v>0.291846182377688</v>
      </c>
    </row>
    <row r="202" spans="2:6" x14ac:dyDescent="0.3">
      <c r="B202" s="337">
        <v>19.8</v>
      </c>
      <c r="C202" s="338">
        <v>23.58822223118219</v>
      </c>
      <c r="D202" s="384">
        <f t="shared" si="41"/>
        <v>4.2394038439999983E-2</v>
      </c>
      <c r="E202" s="338">
        <v>3.4348347161248589</v>
      </c>
      <c r="F202" s="384">
        <f t="shared" si="40"/>
        <v>0.29113482384042877</v>
      </c>
    </row>
    <row r="203" spans="2:6" x14ac:dyDescent="0.3">
      <c r="B203" s="337">
        <v>19.899999999999999</v>
      </c>
      <c r="C203" s="338">
        <v>23.6592942703986</v>
      </c>
      <c r="D203" s="384">
        <f t="shared" si="41"/>
        <v>4.2266687609999978E-2</v>
      </c>
      <c r="E203" s="338">
        <v>3.4430856992456769</v>
      </c>
      <c r="F203" s="384">
        <f t="shared" si="40"/>
        <v>0.29043715066955306</v>
      </c>
    </row>
    <row r="204" spans="2:6" x14ac:dyDescent="0.3">
      <c r="B204" s="337">
        <v>20</v>
      </c>
      <c r="C204" s="338">
        <v>23.730197150477938</v>
      </c>
      <c r="D204" s="384">
        <f t="shared" si="41"/>
        <v>4.2140399999999981E-2</v>
      </c>
      <c r="E204" s="338">
        <v>3.451215071521331</v>
      </c>
      <c r="F204" s="384">
        <f t="shared" si="40"/>
        <v>0.28975302300102374</v>
      </c>
    </row>
    <row r="205" spans="2:6" x14ac:dyDescent="0.3">
      <c r="B205" s="331">
        <v>20.100000000000001</v>
      </c>
      <c r="C205" s="332">
        <v>23.800923963340303</v>
      </c>
      <c r="D205" s="385">
        <f t="shared" si="41"/>
        <v>4.2015175609999997E-2</v>
      </c>
      <c r="E205" s="332">
        <v>3.4592224743373192</v>
      </c>
      <c r="F205" s="385">
        <f t="shared" si="40"/>
        <v>0.28908230315298505</v>
      </c>
    </row>
    <row r="206" spans="2:6" x14ac:dyDescent="0.3">
      <c r="B206" s="331">
        <v>20.2</v>
      </c>
      <c r="C206" s="332">
        <v>23.871467744766317</v>
      </c>
      <c r="D206" s="385">
        <f t="shared" si="41"/>
        <v>4.1891014439999999E-2</v>
      </c>
      <c r="E206" s="332">
        <v>3.4671075694372839</v>
      </c>
      <c r="F206" s="385">
        <f t="shared" si="40"/>
        <v>0.28842485558136327</v>
      </c>
    </row>
    <row r="207" spans="2:6" x14ac:dyDescent="0.3">
      <c r="B207" s="331">
        <v>20.3</v>
      </c>
      <c r="C207" s="332">
        <v>23.941821475328283</v>
      </c>
      <c r="D207" s="385">
        <f t="shared" si="41"/>
        <v>4.1767916489999987E-2</v>
      </c>
      <c r="E207" s="332">
        <v>3.4748700389671661</v>
      </c>
      <c r="F207" s="385">
        <f t="shared" si="40"/>
        <v>0.2877805468365745</v>
      </c>
    </row>
    <row r="208" spans="2:6" x14ac:dyDescent="0.3">
      <c r="B208" s="331">
        <v>20.399999999999999</v>
      </c>
      <c r="C208" s="332">
        <v>24.011978081359278</v>
      </c>
      <c r="D208" s="385">
        <f t="shared" si="41"/>
        <v>4.1645881759999996E-2</v>
      </c>
      <c r="E208" s="332">
        <v>3.4825095855101509</v>
      </c>
      <c r="F208" s="385">
        <f t="shared" si="40"/>
        <v>0.28714924552131865</v>
      </c>
    </row>
    <row r="209" spans="2:6" x14ac:dyDescent="0.3">
      <c r="B209" s="331">
        <v>20.5</v>
      </c>
      <c r="C209" s="332">
        <v>24.081930435960434</v>
      </c>
      <c r="D209" s="385">
        <f t="shared" si="41"/>
        <v>4.1524910249999984E-2</v>
      </c>
      <c r="E209" s="332">
        <v>3.4900259321125047</v>
      </c>
      <c r="F209" s="385">
        <f t="shared" si="40"/>
        <v>0.28653082224942161</v>
      </c>
    </row>
    <row r="210" spans="2:6" x14ac:dyDescent="0.3">
      <c r="B210" s="331">
        <v>20.6</v>
      </c>
      <c r="C210" s="332">
        <v>24.151671360046475</v>
      </c>
      <c r="D210" s="385">
        <f t="shared" si="41"/>
        <v>4.1405001959999993E-2</v>
      </c>
      <c r="E210" s="332">
        <v>3.4974188223002431</v>
      </c>
      <c r="F210" s="385">
        <f t="shared" si="40"/>
        <v>0.28592514960570342</v>
      </c>
    </row>
    <row r="211" spans="2:6" x14ac:dyDescent="0.3">
      <c r="B211" s="331">
        <v>20.7</v>
      </c>
      <c r="C211" s="332">
        <v>24.221193623430043</v>
      </c>
      <c r="D211" s="385">
        <f t="shared" si="41"/>
        <v>4.1286156889999988E-2</v>
      </c>
      <c r="E211" s="332">
        <v>3.5046880200868369</v>
      </c>
      <c r="F211" s="385">
        <f t="shared" si="40"/>
        <v>0.28533210210682963</v>
      </c>
    </row>
    <row r="212" spans="2:6" x14ac:dyDescent="0.3">
      <c r="B212" s="331">
        <v>20.8</v>
      </c>
      <c r="C212" s="332">
        <v>24.290489945944689</v>
      </c>
      <c r="D212" s="385">
        <f t="shared" si="41"/>
        <v>4.116837503999999E-2</v>
      </c>
      <c r="E212" s="332">
        <v>3.5118333099719492</v>
      </c>
      <c r="F212" s="385">
        <f t="shared" si="40"/>
        <v>0.28475155616312198</v>
      </c>
    </row>
    <row r="213" spans="2:6" x14ac:dyDescent="0.3">
      <c r="B213" s="331">
        <v>20.9</v>
      </c>
      <c r="C213" s="332">
        <v>24.359552998607018</v>
      </c>
      <c r="D213" s="385">
        <f t="shared" si="41"/>
        <v>4.1051656409999977E-2</v>
      </c>
      <c r="E213" s="332">
        <v>3.5188544969311475</v>
      </c>
      <c r="F213" s="385">
        <f t="shared" si="40"/>
        <v>0.28418339004130944</v>
      </c>
    </row>
    <row r="214" spans="2:6" x14ac:dyDescent="0.3">
      <c r="B214" s="331">
        <v>21</v>
      </c>
      <c r="C214" s="332">
        <v>24.428375404817892</v>
      </c>
      <c r="D214" s="385">
        <f t="shared" si="41"/>
        <v>4.0936000999999972E-2</v>
      </c>
      <c r="E214" s="332">
        <v>3.5257514063969082</v>
      </c>
      <c r="F214" s="385">
        <f t="shared" si="40"/>
        <v>0.28362748382817377</v>
      </c>
    </row>
    <row r="215" spans="2:6" x14ac:dyDescent="0.3">
      <c r="B215" s="337">
        <v>21.1</v>
      </c>
      <c r="C215" s="338">
        <v>24.496949741603014</v>
      </c>
      <c r="D215" s="384">
        <f t="shared" si="41"/>
        <v>4.082140880999998E-2</v>
      </c>
      <c r="E215" s="338">
        <v>3.5325238842306548</v>
      </c>
      <c r="F215" s="384">
        <f t="shared" si="40"/>
        <v>0.28308371939508886</v>
      </c>
    </row>
    <row r="216" spans="2:6" x14ac:dyDescent="0.3">
      <c r="B216" s="337">
        <v>21.2</v>
      </c>
      <c r="C216" s="338">
        <v>24.565268540892898</v>
      </c>
      <c r="D216" s="384">
        <f t="shared" si="41"/>
        <v>4.0707879839999989E-2</v>
      </c>
      <c r="E216" s="338">
        <v>3.5391717966863396</v>
      </c>
      <c r="F216" s="384">
        <f t="shared" si="40"/>
        <v>0.28255198036339502</v>
      </c>
    </row>
    <row r="217" spans="2:6" x14ac:dyDescent="0.3">
      <c r="B217" s="337">
        <v>21.3</v>
      </c>
      <c r="C217" s="338">
        <v>24.633324290842339</v>
      </c>
      <c r="D217" s="384">
        <f t="shared" si="41"/>
        <v>4.059541408999999E-2</v>
      </c>
      <c r="E217" s="338">
        <v>3.5456950303651906</v>
      </c>
      <c r="F217" s="384">
        <f t="shared" si="40"/>
        <v>0.28203215207062082</v>
      </c>
    </row>
    <row r="218" spans="2:6" x14ac:dyDescent="0.3">
      <c r="B218" s="337">
        <v>21.4</v>
      </c>
      <c r="C218" s="338">
        <v>24.701109437189395</v>
      </c>
      <c r="D218" s="384">
        <f t="shared" si="41"/>
        <v>4.0484011559999977E-2</v>
      </c>
      <c r="E218" s="338">
        <v>3.5520934921620997</v>
      </c>
      <c r="F218" s="384">
        <f t="shared" si="40"/>
        <v>0.2815241215374984</v>
      </c>
    </row>
    <row r="219" spans="2:6" x14ac:dyDescent="0.3">
      <c r="B219" s="337">
        <v>21.5</v>
      </c>
      <c r="C219" s="338">
        <v>24.768616384654006</v>
      </c>
      <c r="D219" s="384">
        <f t="shared" si="41"/>
        <v>4.0373672249999971E-2</v>
      </c>
      <c r="E219" s="338">
        <v>3.5583671092034779</v>
      </c>
      <c r="F219" s="384">
        <f t="shared" si="40"/>
        <v>0.28102777743577023</v>
      </c>
    </row>
    <row r="220" spans="2:6" x14ac:dyDescent="0.3">
      <c r="B220" s="337">
        <v>21.6</v>
      </c>
      <c r="C220" s="338">
        <v>24.835837498376147</v>
      </c>
      <c r="D220" s="384">
        <f t="shared" si="41"/>
        <v>4.0264396159999979E-2</v>
      </c>
      <c r="E220" s="338">
        <v>3.5645158287769005</v>
      </c>
      <c r="F220" s="384">
        <f t="shared" si="40"/>
        <v>0.28054301005674925</v>
      </c>
    </row>
    <row r="221" spans="2:6" x14ac:dyDescent="0.3">
      <c r="B221" s="337">
        <v>21.7</v>
      </c>
      <c r="C221" s="338">
        <v>24.902765105393577</v>
      </c>
      <c r="D221" s="384">
        <f t="shared" si="41"/>
        <v>4.0156183289999973E-2</v>
      </c>
      <c r="E221" s="338">
        <v>3.5705396182524787</v>
      </c>
      <c r="F221" s="384">
        <f t="shared" si="40"/>
        <v>0.28006971128062369</v>
      </c>
    </row>
    <row r="222" spans="2:6" x14ac:dyDescent="0.3">
      <c r="B222" s="337">
        <v>21.8</v>
      </c>
      <c r="C222" s="338">
        <v>24.969391496158973</v>
      </c>
      <c r="D222" s="384">
        <f t="shared" si="41"/>
        <v>4.0049033639999974E-2</v>
      </c>
      <c r="E222" s="338">
        <v>3.576438464996138</v>
      </c>
      <c r="F222" s="384">
        <f t="shared" si="40"/>
        <v>0.27960777454648023</v>
      </c>
    </row>
    <row r="223" spans="2:6" x14ac:dyDescent="0.3">
      <c r="B223" s="337">
        <v>21.9</v>
      </c>
      <c r="C223" s="338">
        <v>25.035708926096561</v>
      </c>
      <c r="D223" s="384">
        <f t="shared" si="41"/>
        <v>3.9942947209999968E-2</v>
      </c>
      <c r="E223" s="338">
        <v>3.582212376275006</v>
      </c>
      <c r="F223" s="384">
        <f t="shared" si="40"/>
        <v>0.27915709482302065</v>
      </c>
    </row>
    <row r="224" spans="2:6" x14ac:dyDescent="0.3">
      <c r="B224" s="337">
        <v>22</v>
      </c>
      <c r="C224" s="338">
        <v>25.10170961719794</v>
      </c>
      <c r="D224" s="384">
        <f t="shared" si="41"/>
        <v>3.9837923999999976E-2</v>
      </c>
      <c r="E224" s="338">
        <v>3.5878613791547833</v>
      </c>
      <c r="F224" s="384">
        <f t="shared" si="40"/>
        <v>0.27871756857997027</v>
      </c>
    </row>
    <row r="225" spans="2:6" x14ac:dyDescent="0.3">
      <c r="B225" s="331">
        <v>22.1</v>
      </c>
      <c r="C225" s="332">
        <v>25.16738575965708</v>
      </c>
      <c r="D225" s="385">
        <f t="shared" si="41"/>
        <v>3.9733964009999963E-2</v>
      </c>
      <c r="E225" s="332">
        <v>3.5933855203896643</v>
      </c>
      <c r="F225" s="385">
        <f t="shared" si="40"/>
        <v>0.27828909376012645</v>
      </c>
    </row>
    <row r="226" spans="2:6" x14ac:dyDescent="0.3">
      <c r="B226" s="331">
        <v>22.2</v>
      </c>
      <c r="C226" s="332">
        <v>25.232729513544154</v>
      </c>
      <c r="D226" s="385">
        <f t="shared" si="41"/>
        <v>3.9631067239999963E-2</v>
      </c>
      <c r="E226" s="332">
        <v>3.5987848663043351</v>
      </c>
      <c r="F226" s="385">
        <f t="shared" si="40"/>
        <v>0.27787156975207583</v>
      </c>
    </row>
    <row r="227" spans="2:6" x14ac:dyDescent="0.3">
      <c r="B227" s="331">
        <v>22.3</v>
      </c>
      <c r="C227" s="332">
        <v>25.297733010518201</v>
      </c>
      <c r="D227" s="385">
        <f t="shared" si="41"/>
        <v>3.9529233689999957E-2</v>
      </c>
      <c r="E227" s="332">
        <v>3.6040595026688522</v>
      </c>
      <c r="F227" s="385">
        <f t="shared" si="40"/>
        <v>0.2774648973635111</v>
      </c>
    </row>
    <row r="228" spans="2:6" x14ac:dyDescent="0.3">
      <c r="B228" s="331">
        <v>22.4</v>
      </c>
      <c r="C228" s="332">
        <v>25.362388355578076</v>
      </c>
      <c r="D228" s="385">
        <f t="shared" si="41"/>
        <v>3.9428463359999964E-2</v>
      </c>
      <c r="E228" s="332">
        <v>3.6092095345659763</v>
      </c>
      <c r="F228" s="385">
        <f t="shared" si="40"/>
        <v>0.27706897879517389</v>
      </c>
    </row>
    <row r="229" spans="2:6" x14ac:dyDescent="0.3">
      <c r="B229" s="331">
        <v>22.5</v>
      </c>
      <c r="C229" s="332">
        <v>25.426687628851745</v>
      </c>
      <c r="D229" s="385">
        <f t="shared" si="41"/>
        <v>3.9328756249999972E-2</v>
      </c>
      <c r="E229" s="332">
        <v>3.6142350862514498</v>
      </c>
      <c r="F229" s="385">
        <f t="shared" si="40"/>
        <v>0.27668371761538146</v>
      </c>
    </row>
    <row r="230" spans="2:6" x14ac:dyDescent="0.3">
      <c r="B230" s="331">
        <v>22.6</v>
      </c>
      <c r="C230" s="332">
        <v>25.490622887423228</v>
      </c>
      <c r="D230" s="385">
        <f t="shared" si="41"/>
        <v>3.9230112359999965E-2</v>
      </c>
      <c r="E230" s="332">
        <v>3.6191363010072863</v>
      </c>
      <c r="F230" s="385">
        <f t="shared" si="40"/>
        <v>0.27630901873512687</v>
      </c>
    </row>
    <row r="231" spans="2:6" x14ac:dyDescent="0.3">
      <c r="B231" s="331">
        <v>22.7</v>
      </c>
      <c r="C231" s="332">
        <v>25.55418616719712</v>
      </c>
      <c r="D231" s="385">
        <f t="shared" si="41"/>
        <v>3.9132531689999965E-2</v>
      </c>
      <c r="E231" s="332">
        <v>3.6239133409881239</v>
      </c>
      <c r="F231" s="385">
        <f t="shared" si="40"/>
        <v>0.27594478838374548</v>
      </c>
    </row>
    <row r="232" spans="2:6" x14ac:dyDescent="0.3">
      <c r="B232" s="331">
        <v>22.8</v>
      </c>
      <c r="C232" s="332">
        <v>25.617369484800175</v>
      </c>
      <c r="D232" s="385">
        <f t="shared" si="41"/>
        <v>3.9036014239999958E-2</v>
      </c>
      <c r="E232" s="332">
        <v>3.6285663870609159</v>
      </c>
      <c r="F232" s="385">
        <f t="shared" si="40"/>
        <v>0.27559093408512358</v>
      </c>
    </row>
    <row r="233" spans="2:6" x14ac:dyDescent="0.3">
      <c r="B233" s="331">
        <v>22.9</v>
      </c>
      <c r="C233" s="332">
        <v>25.680164839519499</v>
      </c>
      <c r="D233" s="385">
        <f t="shared" si="41"/>
        <v>3.8940560009999958E-2</v>
      </c>
      <c r="E233" s="332">
        <v>3.6330956386381494</v>
      </c>
      <c r="F233" s="385">
        <f t="shared" si="40"/>
        <v>0.27524736463443217</v>
      </c>
    </row>
    <row r="234" spans="2:6" x14ac:dyDescent="0.3">
      <c r="B234" s="331">
        <v>23</v>
      </c>
      <c r="C234" s="332">
        <v>25.742564215276957</v>
      </c>
      <c r="D234" s="385">
        <f t="shared" si="41"/>
        <v>3.8846168999999958E-2</v>
      </c>
      <c r="E234" s="332">
        <v>3.6375013135045142</v>
      </c>
      <c r="F234" s="385">
        <f t="shared" si="40"/>
        <v>0.27491399007539052</v>
      </c>
    </row>
    <row r="235" spans="2:6" x14ac:dyDescent="0.3">
      <c r="B235" s="337">
        <v>23.1</v>
      </c>
      <c r="C235" s="338">
        <v>25.804559582639204</v>
      </c>
      <c r="D235" s="384">
        <f t="shared" si="41"/>
        <v>3.8752841209999965E-2</v>
      </c>
      <c r="E235" s="338">
        <v>3.6417836476375998</v>
      </c>
      <c r="F235" s="384">
        <f t="shared" si="40"/>
        <v>0.27459072167801435</v>
      </c>
    </row>
    <row r="236" spans="2:6" x14ac:dyDescent="0.3">
      <c r="B236" s="337">
        <v>23.2</v>
      </c>
      <c r="C236" s="338">
        <v>25.866142900862872</v>
      </c>
      <c r="D236" s="384">
        <f t="shared" si="41"/>
        <v>3.8660576639999965E-2</v>
      </c>
      <c r="E236" s="338">
        <v>3.645942895022332</v>
      </c>
      <c r="F236" s="384">
        <f t="shared" si="40"/>
        <v>0.27427747191687019</v>
      </c>
    </row>
    <row r="237" spans="2:6" x14ac:dyDescent="0.3">
      <c r="B237" s="337">
        <v>23.3</v>
      </c>
      <c r="C237" s="338">
        <v>25.927306119974265</v>
      </c>
      <c r="D237" s="384">
        <f t="shared" si="41"/>
        <v>3.8569375289999958E-2</v>
      </c>
      <c r="E237" s="338">
        <v>3.6499793274596266</v>
      </c>
      <c r="F237" s="384">
        <f t="shared" si="40"/>
        <v>0.27397415444979978</v>
      </c>
    </row>
    <row r="238" spans="2:6" x14ac:dyDescent="0.3">
      <c r="B238" s="337">
        <v>23.4</v>
      </c>
      <c r="C238" s="338">
        <v>25.988041182882981</v>
      </c>
      <c r="D238" s="384">
        <f t="shared" si="41"/>
        <v>3.8479237159999957E-2</v>
      </c>
      <c r="E238" s="338">
        <v>3.6538932343693853</v>
      </c>
      <c r="F238" s="384">
        <f t="shared" si="40"/>
        <v>0.27368068409710583</v>
      </c>
    </row>
    <row r="239" spans="2:6" x14ac:dyDescent="0.3">
      <c r="B239" s="337">
        <v>23.5</v>
      </c>
      <c r="C239" s="338">
        <v>26.04834002752883</v>
      </c>
      <c r="D239" s="384">
        <f t="shared" si="41"/>
        <v>3.839016224999995E-2</v>
      </c>
      <c r="E239" s="338">
        <v>3.6576849225879551</v>
      </c>
      <c r="F239" s="384">
        <f t="shared" si="40"/>
        <v>0.2733969768211913</v>
      </c>
    </row>
    <row r="240" spans="2:6" x14ac:dyDescent="0.3">
      <c r="B240" s="337">
        <v>23.6</v>
      </c>
      <c r="C240" s="338">
        <v>26.108194589061245</v>
      </c>
      <c r="D240" s="384">
        <f t="shared" si="41"/>
        <v>3.8302150559999956E-2</v>
      </c>
      <c r="E240" s="338">
        <v>3.6613547161600963</v>
      </c>
      <c r="F240" s="384">
        <f t="shared" si="40"/>
        <v>0.27312294970665008</v>
      </c>
    </row>
    <row r="241" spans="2:6" x14ac:dyDescent="0.3">
      <c r="B241" s="337">
        <v>23.7</v>
      </c>
      <c r="C241" s="338">
        <v>26.167596802050593</v>
      </c>
      <c r="D241" s="384">
        <f t="shared" si="41"/>
        <v>3.8215202089999956E-2</v>
      </c>
      <c r="E241" s="338">
        <v>3.6649029561260624</v>
      </c>
      <c r="F241" s="384">
        <f t="shared" si="40"/>
        <v>0.27285852094076646</v>
      </c>
    </row>
    <row r="242" spans="2:6" x14ac:dyDescent="0.3">
      <c r="B242" s="337">
        <v>23.8</v>
      </c>
      <c r="C242" s="338">
        <v>26.226538602730471</v>
      </c>
      <c r="D242" s="384">
        <f t="shared" si="41"/>
        <v>3.8129316839999962E-2</v>
      </c>
      <c r="E242" s="338">
        <v>3.6683300003034636</v>
      </c>
      <c r="F242" s="384">
        <f t="shared" si="40"/>
        <v>0.27260360979444997</v>
      </c>
    </row>
    <row r="243" spans="2:6" x14ac:dyDescent="0.3">
      <c r="B243" s="337">
        <v>23.9</v>
      </c>
      <c r="C243" s="338">
        <v>26.285011931270304</v>
      </c>
      <c r="D243" s="384">
        <f t="shared" si="41"/>
        <v>3.8044494809999954E-2</v>
      </c>
      <c r="E243" s="338">
        <v>3.6716362230643633</v>
      </c>
      <c r="F243" s="384">
        <f t="shared" si="40"/>
        <v>0.27235813660357555</v>
      </c>
    </row>
    <row r="244" spans="2:6" x14ac:dyDescent="0.3">
      <c r="B244" s="337">
        <v>24</v>
      </c>
      <c r="C244" s="338">
        <v>26.343008734077262</v>
      </c>
      <c r="D244" s="384">
        <f t="shared" si="41"/>
        <v>3.7960735999999953E-2</v>
      </c>
      <c r="E244" s="338">
        <v>3.6748220151079041</v>
      </c>
      <c r="F244" s="384">
        <f t="shared" si="40"/>
        <v>0.27212202275070918</v>
      </c>
    </row>
    <row r="245" spans="2:6" x14ac:dyDescent="0.3">
      <c r="B245" s="331">
        <v>24.1</v>
      </c>
      <c r="C245" s="332">
        <v>26.400520966126759</v>
      </c>
      <c r="D245" s="385">
        <f t="shared" si="41"/>
        <v>3.7878040409999938E-2</v>
      </c>
      <c r="E245" s="332">
        <v>3.6778877832283063</v>
      </c>
      <c r="F245" s="385">
        <f t="shared" si="40"/>
        <v>0.27189519064723583</v>
      </c>
    </row>
    <row r="246" spans="2:6" x14ac:dyDescent="0.3">
      <c r="B246" s="331">
        <v>24.2</v>
      </c>
      <c r="C246" s="332">
        <v>26.457540593320388</v>
      </c>
      <c r="D246" s="385">
        <f t="shared" si="41"/>
        <v>3.7796408039999958E-2</v>
      </c>
      <c r="E246" s="332">
        <v>3.6808339500787355</v>
      </c>
      <c r="F246" s="385">
        <f t="shared" si="40"/>
        <v>0.27167756371585555</v>
      </c>
    </row>
    <row r="247" spans="2:6" x14ac:dyDescent="0.3">
      <c r="B247" s="331">
        <v>24.3</v>
      </c>
      <c r="C247" s="332">
        <v>26.514059594870677</v>
      </c>
      <c r="D247" s="385">
        <f t="shared" si="41"/>
        <v>3.7715838889999957E-2</v>
      </c>
      <c r="E247" s="332">
        <v>3.683660953931116</v>
      </c>
      <c r="F247" s="385">
        <f t="shared" si="40"/>
        <v>0.27146906637344664</v>
      </c>
    </row>
    <row r="248" spans="2:6" x14ac:dyDescent="0.3">
      <c r="B248" s="331">
        <v>24.4</v>
      </c>
      <c r="C248" s="332">
        <v>26.570069965711166</v>
      </c>
      <c r="D248" s="385">
        <f t="shared" si="41"/>
        <v>3.7636332959999956E-2</v>
      </c>
      <c r="E248" s="332">
        <v>3.6863692484319599</v>
      </c>
      <c r="F248" s="385">
        <f t="shared" si="40"/>
        <v>0.27126962401429583</v>
      </c>
    </row>
    <row r="249" spans="2:6" x14ac:dyDescent="0.3">
      <c r="B249" s="331">
        <v>24.5</v>
      </c>
      <c r="C249" s="332">
        <v>26.625563718931232</v>
      </c>
      <c r="D249" s="385">
        <f t="shared" si="41"/>
        <v>3.7557890249999962E-2</v>
      </c>
      <c r="E249" s="332">
        <v>3.6889593023545562</v>
      </c>
      <c r="F249" s="385">
        <f t="shared" si="40"/>
        <v>0.27107916299367379</v>
      </c>
    </row>
    <row r="250" spans="2:6" x14ac:dyDescent="0.3">
      <c r="B250" s="331">
        <v>24.6</v>
      </c>
      <c r="C250" s="332">
        <v>26.680532888234346</v>
      </c>
      <c r="D250" s="385">
        <f t="shared" si="41"/>
        <v>3.7480510759999953E-2</v>
      </c>
      <c r="E250" s="332">
        <v>3.6914315993477431</v>
      </c>
      <c r="F250" s="385">
        <f t="shared" si="40"/>
        <v>0.27089761061174611</v>
      </c>
    </row>
    <row r="251" spans="2:6" x14ac:dyDescent="0.3">
      <c r="B251" s="331">
        <v>24.7</v>
      </c>
      <c r="C251" s="332">
        <v>26.734969530418606</v>
      </c>
      <c r="D251" s="385">
        <f t="shared" si="41"/>
        <v>3.7404194489999945E-2</v>
      </c>
      <c r="E251" s="332">
        <v>3.6937866376812889</v>
      </c>
      <c r="F251" s="385">
        <f t="shared" si="40"/>
        <v>0.27072489509782105</v>
      </c>
    </row>
    <row r="252" spans="2:6" x14ac:dyDescent="0.3">
      <c r="B252" s="331">
        <v>24.8</v>
      </c>
      <c r="C252" s="332">
        <v>26.788865727878544</v>
      </c>
      <c r="D252" s="385">
        <f t="shared" si="41"/>
        <v>3.7328941439999958E-2</v>
      </c>
      <c r="E252" s="332">
        <v>3.6960249299880035</v>
      </c>
      <c r="F252" s="385">
        <f t="shared" si="40"/>
        <v>0.27056094559493293</v>
      </c>
    </row>
    <row r="253" spans="2:6" x14ac:dyDescent="0.3">
      <c r="B253" s="331">
        <v>24.9</v>
      </c>
      <c r="C253" s="332">
        <v>26.842213591126963</v>
      </c>
      <c r="D253" s="385">
        <f t="shared" si="41"/>
        <v>3.7254751609999956E-2</v>
      </c>
      <c r="E253" s="332">
        <v>3.6981470030031836</v>
      </c>
      <c r="F253" s="385">
        <f t="shared" si="40"/>
        <v>0.2704056921447206</v>
      </c>
    </row>
    <row r="254" spans="2:6" x14ac:dyDescent="0.3">
      <c r="B254" s="331">
        <v>25</v>
      </c>
      <c r="C254" s="332">
        <v>26.895005261335442</v>
      </c>
      <c r="D254" s="385">
        <f t="shared" si="41"/>
        <v>3.7181624999999947E-2</v>
      </c>
      <c r="E254" s="332">
        <v>3.7001533973010772</v>
      </c>
      <c r="F254" s="385">
        <f t="shared" si="40"/>
        <v>0.27025906567263086</v>
      </c>
    </row>
    <row r="255" spans="2:6" x14ac:dyDescent="0.3">
      <c r="B255" s="337">
        <v>25.1</v>
      </c>
      <c r="C255" s="338">
        <v>26.947232912892428</v>
      </c>
      <c r="D255" s="384">
        <f t="shared" si="41"/>
        <v>3.7109561609999953E-2</v>
      </c>
      <c r="E255" s="338">
        <v>3.7020446670288147</v>
      </c>
      <c r="F255" s="384">
        <f t="shared" si="40"/>
        <v>0.27012099797341976</v>
      </c>
    </row>
    <row r="256" spans="2:6" x14ac:dyDescent="0.3">
      <c r="B256" s="337">
        <v>25.2</v>
      </c>
      <c r="C256" s="338">
        <v>26.9988887559776</v>
      </c>
      <c r="D256" s="384">
        <f t="shared" si="41"/>
        <v>3.7038561439999944E-2</v>
      </c>
      <c r="E256" s="338">
        <v>3.7038213796380206</v>
      </c>
      <c r="F256" s="384">
        <f t="shared" si="40"/>
        <v>0.26999142169694246</v>
      </c>
    </row>
    <row r="257" spans="2:6" x14ac:dyDescent="0.3">
      <c r="B257" s="337">
        <v>25.3</v>
      </c>
      <c r="C257" s="338">
        <v>27.049965039151004</v>
      </c>
      <c r="D257" s="384">
        <f t="shared" si="41"/>
        <v>3.6968624489999942E-2</v>
      </c>
      <c r="E257" s="338">
        <v>3.7054841156140745</v>
      </c>
      <c r="F257" s="384">
        <f t="shared" si="40"/>
        <v>0.26987027033423933</v>
      </c>
    </row>
    <row r="258" spans="2:6" x14ac:dyDescent="0.3">
      <c r="B258" s="337">
        <v>25.4</v>
      </c>
      <c r="C258" s="338">
        <v>27.100454051955804</v>
      </c>
      <c r="D258" s="384">
        <f t="shared" si="41"/>
        <v>3.6899750759999954E-2</v>
      </c>
      <c r="E258" s="338">
        <v>3.7070334682035084</v>
      </c>
      <c r="F258" s="384">
        <f t="shared" si="40"/>
        <v>0.26975747820389034</v>
      </c>
    </row>
    <row r="259" spans="2:6" x14ac:dyDescent="0.3">
      <c r="B259" s="337">
        <v>25.5</v>
      </c>
      <c r="C259" s="338">
        <v>27.150348127533174</v>
      </c>
      <c r="D259" s="384">
        <f t="shared" si="41"/>
        <v>3.6831940249999952E-2</v>
      </c>
      <c r="E259" s="338">
        <v>3.7084700431393807</v>
      </c>
      <c r="F259" s="384">
        <f t="shared" si="40"/>
        <v>0.2696529804386546</v>
      </c>
    </row>
    <row r="260" spans="2:6" x14ac:dyDescent="0.3">
      <c r="B260" s="337">
        <v>25.6</v>
      </c>
      <c r="C260" s="338">
        <v>27.1996396452478</v>
      </c>
      <c r="D260" s="384">
        <f t="shared" si="41"/>
        <v>3.676519295999995E-2</v>
      </c>
      <c r="E260" s="338">
        <v>3.709794458365093</v>
      </c>
      <c r="F260" s="384">
        <f t="shared" si="40"/>
        <v>0.26955671297236777</v>
      </c>
    </row>
    <row r="261" spans="2:6" x14ac:dyDescent="0.3">
      <c r="B261" s="337">
        <v>25.7</v>
      </c>
      <c r="C261" s="338">
        <v>27.248321033322728</v>
      </c>
      <c r="D261" s="384">
        <f t="shared" si="41"/>
        <v>3.6699508889999947E-2</v>
      </c>
      <c r="E261" s="338">
        <v>3.7110073437566009</v>
      </c>
      <c r="F261" s="384">
        <f t="shared" ref="F261:F324" si="42">1/E261</f>
        <v>0.26946861252710808</v>
      </c>
    </row>
    <row r="262" spans="2:6" x14ac:dyDescent="0.3">
      <c r="B262" s="337">
        <v>25.8</v>
      </c>
      <c r="C262" s="338">
        <v>27.296384771481925</v>
      </c>
      <c r="D262" s="384">
        <f t="shared" ref="D262:D325" si="43">1/C262</f>
        <v>3.6634888039999952E-2</v>
      </c>
      <c r="E262" s="338">
        <v>3.7121093408434191</v>
      </c>
      <c r="F262" s="384">
        <f t="shared" si="42"/>
        <v>0.26938861660060703</v>
      </c>
    </row>
    <row r="263" spans="2:6" x14ac:dyDescent="0.3">
      <c r="B263" s="337">
        <v>25.9</v>
      </c>
      <c r="C263" s="338">
        <v>27.343823393599138</v>
      </c>
      <c r="D263" s="384">
        <f t="shared" si="43"/>
        <v>3.6571330409999943E-2</v>
      </c>
      <c r="E263" s="338">
        <v>3.7131011025283915</v>
      </c>
      <c r="F263" s="384">
        <f t="shared" si="42"/>
        <v>0.26931666345391514</v>
      </c>
    </row>
    <row r="264" spans="2:6" x14ac:dyDescent="0.3">
      <c r="B264" s="337">
        <v>26</v>
      </c>
      <c r="C264" s="338">
        <v>27.390629490351358</v>
      </c>
      <c r="D264" s="384">
        <f t="shared" si="43"/>
        <v>3.6508835999999954E-2</v>
      </c>
      <c r="E264" s="338">
        <v>3.7139832928064633</v>
      </c>
      <c r="F264" s="384">
        <f t="shared" si="42"/>
        <v>0.26925269209930996</v>
      </c>
    </row>
    <row r="265" spans="2:6" x14ac:dyDescent="0.3">
      <c r="B265" s="331">
        <v>26.1</v>
      </c>
      <c r="C265" s="332">
        <v>27.436795711875579</v>
      </c>
      <c r="D265" s="385">
        <f t="shared" si="43"/>
        <v>3.6447404809999952E-2</v>
      </c>
      <c r="E265" s="332">
        <v>3.714756586482673</v>
      </c>
      <c r="F265" s="385">
        <f t="shared" si="42"/>
        <v>0.26919664228843931</v>
      </c>
    </row>
    <row r="266" spans="2:6" x14ac:dyDescent="0.3">
      <c r="B266" s="331">
        <v>26.2</v>
      </c>
      <c r="C266" s="332">
        <v>27.482314770426942</v>
      </c>
      <c r="D266" s="385">
        <f t="shared" si="43"/>
        <v>3.6387036839999956E-2</v>
      </c>
      <c r="E266" s="332">
        <v>3.7154216688895043</v>
      </c>
      <c r="F266" s="385">
        <f t="shared" si="42"/>
        <v>0.26914845450069419</v>
      </c>
    </row>
    <row r="267" spans="2:6" x14ac:dyDescent="0.3">
      <c r="B267" s="331">
        <v>26.3</v>
      </c>
      <c r="C267" s="332">
        <v>27.527179443036943</v>
      </c>
      <c r="D267" s="385">
        <f t="shared" si="43"/>
        <v>3.6327732089999946E-2</v>
      </c>
      <c r="E267" s="332">
        <v>3.715979235603724</v>
      </c>
      <c r="F267" s="385">
        <f t="shared" si="42"/>
        <v>0.2691080699318098</v>
      </c>
    </row>
    <row r="268" spans="2:6" x14ac:dyDescent="0.3">
      <c r="B268" s="331">
        <v>26.4</v>
      </c>
      <c r="C268" s="332">
        <v>27.571382574169842</v>
      </c>
      <c r="D268" s="385">
        <f t="shared" si="43"/>
        <v>3.6269490559999944E-2</v>
      </c>
      <c r="E268" s="332">
        <v>3.7164299921628743</v>
      </c>
      <c r="F268" s="385">
        <f t="shared" si="42"/>
        <v>0.2690754304826885</v>
      </c>
    </row>
    <row r="269" spans="2:6" x14ac:dyDescent="0.3">
      <c r="B269" s="331">
        <v>26.5</v>
      </c>
      <c r="C269" s="332">
        <v>27.614917078375786</v>
      </c>
      <c r="D269" s="385">
        <f t="shared" si="43"/>
        <v>3.6212312249999941E-2</v>
      </c>
      <c r="E269" s="332">
        <v>3.7167746537816271</v>
      </c>
      <c r="F269" s="385">
        <f t="shared" si="42"/>
        <v>0.26905047874843618</v>
      </c>
    </row>
    <row r="270" spans="2:6" x14ac:dyDescent="0.3">
      <c r="B270" s="331">
        <v>26.6</v>
      </c>
      <c r="C270" s="332">
        <v>27.657775942938841</v>
      </c>
      <c r="D270" s="385">
        <f t="shared" si="43"/>
        <v>3.6156197159999938E-2</v>
      </c>
      <c r="E270" s="332">
        <v>3.717013945068139</v>
      </c>
      <c r="F270" s="385">
        <f t="shared" si="42"/>
        <v>0.2690331580076083</v>
      </c>
    </row>
    <row r="271" spans="2:6" x14ac:dyDescent="0.3">
      <c r="B271" s="331">
        <v>26.7</v>
      </c>
      <c r="C271" s="332">
        <v>27.699952230518313</v>
      </c>
      <c r="D271" s="385">
        <f t="shared" si="43"/>
        <v>3.6101145289999956E-2</v>
      </c>
      <c r="E271" s="332">
        <v>3.717148599740471</v>
      </c>
      <c r="F271" s="385">
        <f t="shared" si="42"/>
        <v>0.26902341221166659</v>
      </c>
    </row>
    <row r="272" spans="2:6" x14ac:dyDescent="0.3">
      <c r="B272" s="331">
        <v>26.8</v>
      </c>
      <c r="C272" s="332">
        <v>27.741439081781664</v>
      </c>
      <c r="D272" s="385">
        <f t="shared" si="43"/>
        <v>3.6047156639999953E-2</v>
      </c>
      <c r="E272" s="332">
        <v>3.7171793603433843</v>
      </c>
      <c r="F272" s="385">
        <f t="shared" si="42"/>
        <v>0.2690211859746317</v>
      </c>
    </row>
    <row r="273" spans="2:6" x14ac:dyDescent="0.3">
      <c r="B273" s="331">
        <v>26.9</v>
      </c>
      <c r="C273" s="332">
        <v>27.782229718027128</v>
      </c>
      <c r="D273" s="385">
        <f t="shared" si="43"/>
        <v>3.5994231209999943E-2</v>
      </c>
      <c r="E273" s="332">
        <v>3.7171069779655741</v>
      </c>
      <c r="F273" s="385">
        <f t="shared" si="42"/>
        <v>0.26902642456293102</v>
      </c>
    </row>
    <row r="274" spans="2:6" x14ac:dyDescent="0.3">
      <c r="B274" s="331">
        <v>27</v>
      </c>
      <c r="C274" s="332">
        <v>27.822317443794581</v>
      </c>
      <c r="D274" s="385">
        <f t="shared" si="43"/>
        <v>3.5942368999999939E-2</v>
      </c>
      <c r="E274" s="332">
        <v>3.7169322119573165</v>
      </c>
      <c r="F274" s="385">
        <f t="shared" si="42"/>
        <v>0.26903907388545173</v>
      </c>
    </row>
    <row r="275" spans="2:6" x14ac:dyDescent="0.3">
      <c r="B275" s="337">
        <v>27.1</v>
      </c>
      <c r="C275" s="338">
        <v>27.861695649462661</v>
      </c>
      <c r="D275" s="384">
        <f t="shared" si="43"/>
        <v>3.5891570009999943E-2</v>
      </c>
      <c r="E275" s="338">
        <v>3.7166558296491097</v>
      </c>
      <c r="F275" s="384">
        <f t="shared" si="42"/>
        <v>0.2690590804837612</v>
      </c>
    </row>
    <row r="276" spans="2:6" x14ac:dyDescent="0.3">
      <c r="B276" s="337">
        <v>27.2</v>
      </c>
      <c r="C276" s="338">
        <v>27.900357813830496</v>
      </c>
      <c r="D276" s="384">
        <f t="shared" si="43"/>
        <v>3.5841834239999946E-2</v>
      </c>
      <c r="E276" s="338">
        <v>3.7162786060709205</v>
      </c>
      <c r="F276" s="384">
        <f t="shared" si="42"/>
        <v>0.2690863915225295</v>
      </c>
    </row>
    <row r="277" spans="2:6" x14ac:dyDescent="0.3">
      <c r="B277" s="337">
        <v>27.3</v>
      </c>
      <c r="C277" s="338">
        <v>27.93829750668224</v>
      </c>
      <c r="D277" s="384">
        <f t="shared" si="43"/>
        <v>3.5793161689999957E-2</v>
      </c>
      <c r="E277" s="338">
        <v>3.7158013236725602</v>
      </c>
      <c r="F277" s="384">
        <f t="shared" si="42"/>
        <v>0.26912095478012188</v>
      </c>
    </row>
    <row r="278" spans="2:6" x14ac:dyDescent="0.3">
      <c r="B278" s="337">
        <v>27.4</v>
      </c>
      <c r="C278" s="338">
        <v>27.975508391332667</v>
      </c>
      <c r="D278" s="384">
        <f t="shared" si="43"/>
        <v>3.5745552359999953E-2</v>
      </c>
      <c r="E278" s="338">
        <v>3.7152247720451888</v>
      </c>
      <c r="F278" s="384">
        <f t="shared" si="42"/>
        <v>0.26916271863936553</v>
      </c>
    </row>
    <row r="279" spans="2:6" x14ac:dyDescent="0.3">
      <c r="B279" s="337">
        <v>27.5</v>
      </c>
      <c r="C279" s="338">
        <v>28.011984227152016</v>
      </c>
      <c r="D279" s="384">
        <f t="shared" si="43"/>
        <v>3.5699006249999957E-2</v>
      </c>
      <c r="E279" s="338">
        <v>3.7145497476439648</v>
      </c>
      <c r="F279" s="384">
        <f t="shared" si="42"/>
        <v>0.26921163207849674</v>
      </c>
    </row>
    <row r="280" spans="2:6" x14ac:dyDescent="0.3">
      <c r="B280" s="337">
        <v>27.6</v>
      </c>
      <c r="C280" s="338">
        <v>28.047718872068337</v>
      </c>
      <c r="D280" s="384">
        <f t="shared" si="43"/>
        <v>3.5653523359999953E-2</v>
      </c>
      <c r="E280" s="338">
        <v>3.713777053512211</v>
      </c>
      <c r="F280" s="384">
        <f t="shared" si="42"/>
        <v>0.2692676446622651</v>
      </c>
    </row>
    <row r="281" spans="2:6" x14ac:dyDescent="0.3">
      <c r="B281" s="337">
        <v>27.7</v>
      </c>
      <c r="C281" s="338">
        <v>28.082706285045543</v>
      </c>
      <c r="D281" s="384">
        <f t="shared" si="43"/>
        <v>3.5609103689999949E-2</v>
      </c>
      <c r="E281" s="338">
        <v>3.7129074990069681</v>
      </c>
      <c r="F281" s="384">
        <f t="shared" si="42"/>
        <v>0.2693307065332099</v>
      </c>
    </row>
    <row r="282" spans="2:6" x14ac:dyDescent="0.3">
      <c r="B282" s="337">
        <v>27.8</v>
      </c>
      <c r="C282" s="338">
        <v>28.116940528535388</v>
      </c>
      <c r="D282" s="384">
        <f t="shared" si="43"/>
        <v>3.5565747239999945E-2</v>
      </c>
      <c r="E282" s="338">
        <v>3.7119418995261997</v>
      </c>
      <c r="F282" s="384">
        <f t="shared" si="42"/>
        <v>0.2694007684030944</v>
      </c>
    </row>
    <row r="283" spans="2:6" x14ac:dyDescent="0.3">
      <c r="B283" s="337">
        <v>27.9</v>
      </c>
      <c r="C283" s="338">
        <v>28.150415770901585</v>
      </c>
      <c r="D283" s="384">
        <f t="shared" si="43"/>
        <v>3.5523454009999962E-2</v>
      </c>
      <c r="E283" s="338">
        <v>3.7108810762377611</v>
      </c>
      <c r="F283" s="384">
        <f t="shared" si="42"/>
        <v>0.26947778154449503</v>
      </c>
    </row>
    <row r="284" spans="2:6" x14ac:dyDescent="0.3">
      <c r="B284" s="337">
        <v>28</v>
      </c>
      <c r="C284" s="338">
        <v>28.183126288814396</v>
      </c>
      <c r="D284" s="384">
        <f t="shared" si="43"/>
        <v>3.5482223999999958E-2</v>
      </c>
      <c r="E284" s="338">
        <v>3.7097258558101665</v>
      </c>
      <c r="F284" s="384">
        <f t="shared" si="42"/>
        <v>0.26956169778254685</v>
      </c>
    </row>
    <row r="285" spans="2:6" x14ac:dyDescent="0.3">
      <c r="B285" s="331">
        <v>28.1</v>
      </c>
      <c r="C285" s="332">
        <v>28.215066469613692</v>
      </c>
      <c r="D285" s="385">
        <f t="shared" si="43"/>
        <v>3.5442057209999954E-2</v>
      </c>
      <c r="E285" s="332">
        <v>3.7084770701453085</v>
      </c>
      <c r="F285" s="385">
        <f t="shared" si="42"/>
        <v>0.26965246948683902</v>
      </c>
    </row>
    <row r="286" spans="2:6" x14ac:dyDescent="0.3">
      <c r="B286" s="331">
        <v>28.2</v>
      </c>
      <c r="C286" s="332">
        <v>28.246230813639006</v>
      </c>
      <c r="D286" s="385">
        <f t="shared" si="43"/>
        <v>3.5402953639999957E-2</v>
      </c>
      <c r="E286" s="332">
        <v>3.7071355561132489</v>
      </c>
      <c r="F286" s="385">
        <f t="shared" si="42"/>
        <v>0.26975004956345627</v>
      </c>
    </row>
    <row r="287" spans="2:6" x14ac:dyDescent="0.3">
      <c r="B287" s="331">
        <v>28.3</v>
      </c>
      <c r="C287" s="332">
        <v>28.276613936524694</v>
      </c>
      <c r="D287" s="385">
        <f t="shared" si="43"/>
        <v>3.5364913289999952E-2</v>
      </c>
      <c r="E287" s="332">
        <v>3.7057021552891434</v>
      </c>
      <c r="F287" s="385">
        <f t="shared" si="42"/>
        <v>0.26985439144716511</v>
      </c>
    </row>
    <row r="288" spans="2:6" x14ac:dyDescent="0.3">
      <c r="B288" s="331">
        <v>28.4</v>
      </c>
      <c r="C288" s="332">
        <v>28.306210571458454</v>
      </c>
      <c r="D288" s="385">
        <f t="shared" si="43"/>
        <v>3.5327936159999948E-2</v>
      </c>
      <c r="E288" s="332">
        <v>3.7041777136924847</v>
      </c>
      <c r="F288" s="385">
        <f t="shared" si="42"/>
        <v>0.26996544909373604</v>
      </c>
    </row>
    <row r="289" spans="2:6" x14ac:dyDescent="0.3">
      <c r="B289" s="331">
        <v>28.5</v>
      </c>
      <c r="C289" s="332">
        <v>28.335015571401577</v>
      </c>
      <c r="D289" s="385">
        <f t="shared" si="43"/>
        <v>3.5292022249999964E-2</v>
      </c>
      <c r="E289" s="332">
        <v>3.7025630815285027</v>
      </c>
      <c r="F289" s="385">
        <f t="shared" si="42"/>
        <v>0.27008317697241696</v>
      </c>
    </row>
    <row r="290" spans="2:6" x14ac:dyDescent="0.3">
      <c r="B290" s="331">
        <v>28.6</v>
      </c>
      <c r="C290" s="332">
        <v>28.36302391126922</v>
      </c>
      <c r="D290" s="385">
        <f t="shared" si="43"/>
        <v>3.525717155999996E-2</v>
      </c>
      <c r="E290" s="332">
        <v>3.700859112932291</v>
      </c>
      <c r="F290" s="385">
        <f t="shared" si="42"/>
        <v>0.27020753005852011</v>
      </c>
    </row>
    <row r="291" spans="2:6" x14ac:dyDescent="0.3">
      <c r="B291" s="331">
        <v>28.7</v>
      </c>
      <c r="C291" s="332">
        <v>28.390230690068858</v>
      </c>
      <c r="D291" s="385">
        <f t="shared" si="43"/>
        <v>3.5223384089999962E-2</v>
      </c>
      <c r="E291" s="332">
        <v>3.6990666657151308</v>
      </c>
      <c r="F291" s="385">
        <f t="shared" si="42"/>
        <v>0.27033846382616428</v>
      </c>
    </row>
    <row r="292" spans="2:6" x14ac:dyDescent="0.3">
      <c r="B292" s="331">
        <v>28.8</v>
      </c>
      <c r="C292" s="332">
        <v>28.416631132995576</v>
      </c>
      <c r="D292" s="385">
        <f t="shared" si="43"/>
        <v>3.5190659839999958E-2</v>
      </c>
      <c r="E292" s="332">
        <v>3.697186601113688</v>
      </c>
      <c r="F292" s="385">
        <f t="shared" si="42"/>
        <v>0.27047593424112654</v>
      </c>
    </row>
    <row r="293" spans="2:6" x14ac:dyDescent="0.3">
      <c r="B293" s="331">
        <v>28.9</v>
      </c>
      <c r="C293" s="332">
        <v>28.442220593482286</v>
      </c>
      <c r="D293" s="385">
        <f t="shared" si="43"/>
        <v>3.515899880999996E-2</v>
      </c>
      <c r="E293" s="332">
        <v>3.695219783541738</v>
      </c>
      <c r="F293" s="385">
        <f t="shared" si="42"/>
        <v>0.27061989775383138</v>
      </c>
    </row>
    <row r="294" spans="2:6" x14ac:dyDescent="0.3">
      <c r="B294" s="331">
        <v>29</v>
      </c>
      <c r="C294" s="332">
        <v>28.466994555203389</v>
      </c>
      <c r="D294" s="385">
        <f t="shared" si="43"/>
        <v>3.5128400999999955E-2</v>
      </c>
      <c r="E294" s="332">
        <v>3.6931670803446774</v>
      </c>
      <c r="F294" s="385">
        <f t="shared" si="42"/>
        <v>0.27077031129246165</v>
      </c>
    </row>
    <row r="295" spans="2:6" x14ac:dyDescent="0.3">
      <c r="B295" s="337">
        <v>29.1</v>
      </c>
      <c r="C295" s="338">
        <v>28.490948634030282</v>
      </c>
      <c r="D295" s="384">
        <f t="shared" si="43"/>
        <v>3.5098866409999971E-2</v>
      </c>
      <c r="E295" s="338">
        <v>3.6910293615568981</v>
      </c>
      <c r="F295" s="384">
        <f t="shared" si="42"/>
        <v>0.27092713225618831</v>
      </c>
    </row>
    <row r="296" spans="2:6" x14ac:dyDescent="0.3">
      <c r="B296" s="337">
        <v>29.2</v>
      </c>
      <c r="C296" s="338">
        <v>28.514078579937234</v>
      </c>
      <c r="D296" s="384">
        <f t="shared" si="43"/>
        <v>3.5070395039999966E-2</v>
      </c>
      <c r="E296" s="338">
        <v>3.6888074996620297</v>
      </c>
      <c r="F296" s="384">
        <f t="shared" si="42"/>
        <v>0.27109031850852083</v>
      </c>
    </row>
    <row r="297" spans="2:6" x14ac:dyDescent="0.3">
      <c r="B297" s="337">
        <v>29.3</v>
      </c>
      <c r="C297" s="338">
        <v>28.536380278855876</v>
      </c>
      <c r="D297" s="384">
        <f t="shared" si="43"/>
        <v>3.5042986889999961E-2</v>
      </c>
      <c r="E297" s="338">
        <v>3.686502369356174</v>
      </c>
      <c r="F297" s="384">
        <f t="shared" si="42"/>
        <v>0.27125982837077195</v>
      </c>
    </row>
    <row r="298" spans="2:6" x14ac:dyDescent="0.3">
      <c r="B298" s="337">
        <v>29.4</v>
      </c>
      <c r="C298" s="338">
        <v>28.557849754477171</v>
      </c>
      <c r="D298" s="384">
        <f t="shared" si="43"/>
        <v>3.5016641959999963E-2</v>
      </c>
      <c r="E298" s="338">
        <v>3.6841148473141252</v>
      </c>
      <c r="F298" s="384">
        <f t="shared" si="42"/>
        <v>0.27143562061563908</v>
      </c>
    </row>
    <row r="299" spans="2:6" x14ac:dyDescent="0.3">
      <c r="B299" s="337">
        <v>29.5</v>
      </c>
      <c r="C299" s="338">
        <v>28.578483169999114</v>
      </c>
      <c r="D299" s="384">
        <f t="shared" si="43"/>
        <v>3.4991360249999964E-2</v>
      </c>
      <c r="E299" s="338">
        <v>3.6816458119587403</v>
      </c>
      <c r="F299" s="384">
        <f t="shared" si="42"/>
        <v>0.2716176544608922</v>
      </c>
    </row>
    <row r="300" spans="2:6" x14ac:dyDescent="0.3">
      <c r="B300" s="337">
        <v>29.6</v>
      </c>
      <c r="C300" s="338">
        <v>28.598276829818907</v>
      </c>
      <c r="D300" s="384">
        <f t="shared" si="43"/>
        <v>3.4967141759999959E-2</v>
      </c>
      <c r="E300" s="338">
        <v>3.6790961432333575</v>
      </c>
      <c r="F300" s="384">
        <f t="shared" si="42"/>
        <v>0.27180588956317797</v>
      </c>
    </row>
    <row r="301" spans="2:6" x14ac:dyDescent="0.3">
      <c r="B301" s="337">
        <v>29.7</v>
      </c>
      <c r="C301" s="338">
        <v>28.61722718116815</v>
      </c>
      <c r="D301" s="384">
        <f t="shared" si="43"/>
        <v>3.4943986489999981E-2</v>
      </c>
      <c r="E301" s="338">
        <v>3.67646672237754</v>
      </c>
      <c r="F301" s="384">
        <f t="shared" si="42"/>
        <v>0.27200028601192083</v>
      </c>
    </row>
    <row r="302" spans="2:6" x14ac:dyDescent="0.3">
      <c r="B302" s="337">
        <v>29.8</v>
      </c>
      <c r="C302" s="338">
        <v>28.635330815689869</v>
      </c>
      <c r="D302" s="384">
        <f t="shared" si="43"/>
        <v>3.4921894439999976E-2</v>
      </c>
      <c r="E302" s="338">
        <v>3.6737584317059047</v>
      </c>
      <c r="F302" s="384">
        <f t="shared" si="42"/>
        <v>0.27220080432334015</v>
      </c>
    </row>
    <row r="303" spans="2:6" x14ac:dyDescent="0.3">
      <c r="B303" s="337">
        <v>29.9</v>
      </c>
      <c r="C303" s="338">
        <v>28.652584470955784</v>
      </c>
      <c r="D303" s="384">
        <f t="shared" si="43"/>
        <v>3.490086560999997E-2</v>
      </c>
      <c r="E303" s="338">
        <v>3.6709721543903568</v>
      </c>
      <c r="F303" s="384">
        <f t="shared" si="42"/>
        <v>0.2724074054345616</v>
      </c>
    </row>
    <row r="304" spans="2:6" x14ac:dyDescent="0.3">
      <c r="B304" s="337">
        <v>30</v>
      </c>
      <c r="C304" s="338">
        <v>28.66898503192294</v>
      </c>
      <c r="D304" s="384">
        <f t="shared" si="43"/>
        <v>3.4880899999999972E-2</v>
      </c>
      <c r="E304" s="338">
        <v>3.6681087742456602</v>
      </c>
      <c r="F304" s="384">
        <f t="shared" si="42"/>
        <v>0.27262005069782813</v>
      </c>
    </row>
    <row r="305" spans="2:6" x14ac:dyDescent="0.3">
      <c r="B305" s="331">
        <v>30.1</v>
      </c>
      <c r="C305" s="332">
        <v>28.684529532328224</v>
      </c>
      <c r="D305" s="385">
        <f t="shared" si="43"/>
        <v>3.4861997609999966E-2</v>
      </c>
      <c r="E305" s="332">
        <v>3.6651691755182298</v>
      </c>
      <c r="F305" s="385">
        <f t="shared" si="42"/>
        <v>0.27283870187482051</v>
      </c>
    </row>
    <row r="306" spans="2:6" x14ac:dyDescent="0.3">
      <c r="B306" s="331">
        <v>30.2</v>
      </c>
      <c r="C306" s="332">
        <v>28.699215156019736</v>
      </c>
      <c r="D306" s="385">
        <f t="shared" si="43"/>
        <v>3.4844158439999967E-2</v>
      </c>
      <c r="E306" s="332">
        <v>3.6621542426785876</v>
      </c>
      <c r="F306" s="385">
        <f t="shared" si="42"/>
        <v>0.27306332113105536</v>
      </c>
    </row>
    <row r="307" spans="2:6" x14ac:dyDescent="0.3">
      <c r="B307" s="331">
        <v>30.3</v>
      </c>
      <c r="C307" s="332">
        <v>28.713039238223857</v>
      </c>
      <c r="D307" s="385">
        <f t="shared" si="43"/>
        <v>3.4827382489999982E-2</v>
      </c>
      <c r="E307" s="332">
        <v>3.6590648602169686</v>
      </c>
      <c r="F307" s="385">
        <f t="shared" si="42"/>
        <v>0.27329387103039871</v>
      </c>
    </row>
    <row r="308" spans="2:6" x14ac:dyDescent="0.3">
      <c r="B308" s="331">
        <v>30.4</v>
      </c>
      <c r="C308" s="332">
        <v>28.725999266747053</v>
      </c>
      <c r="D308" s="385">
        <f t="shared" si="43"/>
        <v>3.4811669759999983E-2</v>
      </c>
      <c r="E308" s="332">
        <v>3.655901912442594</v>
      </c>
      <c r="F308" s="385">
        <f t="shared" si="42"/>
        <v>0.27353031452965776</v>
      </c>
    </row>
    <row r="309" spans="2:6" x14ac:dyDescent="0.3">
      <c r="B309" s="331">
        <v>30.5</v>
      </c>
      <c r="C309" s="332">
        <v>28.738092883111179</v>
      </c>
      <c r="D309" s="385">
        <f t="shared" si="43"/>
        <v>3.4797020249999977E-2</v>
      </c>
      <c r="E309" s="332">
        <v>3.6526662832864143</v>
      </c>
      <c r="F309" s="385">
        <f t="shared" si="42"/>
        <v>0.27377261497326544</v>
      </c>
    </row>
    <row r="310" spans="2:6" x14ac:dyDescent="0.3">
      <c r="B310" s="331">
        <v>30.6</v>
      </c>
      <c r="C310" s="332">
        <v>28.749317883621647</v>
      </c>
      <c r="D310" s="385">
        <f t="shared" si="43"/>
        <v>3.4783433959999985E-2</v>
      </c>
      <c r="E310" s="332">
        <v>3.6493588561073103</v>
      </c>
      <c r="F310" s="385">
        <f t="shared" si="42"/>
        <v>0.27402073608805844</v>
      </c>
    </row>
    <row r="311" spans="2:6" x14ac:dyDescent="0.3">
      <c r="B311" s="331">
        <v>30.7</v>
      </c>
      <c r="C311" s="332">
        <v>28.759672220367321</v>
      </c>
      <c r="D311" s="385">
        <f t="shared" si="43"/>
        <v>3.4770910889999979E-2</v>
      </c>
      <c r="E311" s="332">
        <v>3.6459805135018817</v>
      </c>
      <c r="F311" s="385">
        <f t="shared" si="42"/>
        <v>0.274274641978139</v>
      </c>
    </row>
    <row r="312" spans="2:6" x14ac:dyDescent="0.3">
      <c r="B312" s="331">
        <v>30.8</v>
      </c>
      <c r="C312" s="332">
        <v>28.769154002151375</v>
      </c>
      <c r="D312" s="385">
        <f t="shared" si="43"/>
        <v>3.4759451039999972E-2</v>
      </c>
      <c r="E312" s="332">
        <v>3.6425321371178003</v>
      </c>
      <c r="F312" s="385">
        <f t="shared" si="42"/>
        <v>0.27453429711982241</v>
      </c>
    </row>
    <row r="313" spans="2:6" x14ac:dyDescent="0.3">
      <c r="B313" s="331">
        <v>30.9</v>
      </c>
      <c r="C313" s="332">
        <v>28.777761495352305</v>
      </c>
      <c r="D313" s="385">
        <f t="shared" si="43"/>
        <v>3.4749054409999994E-2</v>
      </c>
      <c r="E313" s="332">
        <v>3.6390146074706942</v>
      </c>
      <c r="F313" s="385">
        <f t="shared" si="42"/>
        <v>0.2747996663566713</v>
      </c>
    </row>
    <row r="314" spans="2:6" x14ac:dyDescent="0.3">
      <c r="B314" s="331">
        <v>31</v>
      </c>
      <c r="C314" s="332">
        <v>28.78549312471451</v>
      </c>
      <c r="D314" s="385">
        <f t="shared" si="43"/>
        <v>3.4739720999999987E-2</v>
      </c>
      <c r="E314" s="332">
        <v>3.6354288037647247</v>
      </c>
      <c r="F314" s="385">
        <f t="shared" si="42"/>
        <v>0.27507071489460461</v>
      </c>
    </row>
    <row r="315" spans="2:6" x14ac:dyDescent="0.3">
      <c r="B315" s="337">
        <v>31.1</v>
      </c>
      <c r="C315" s="338">
        <v>28.792347474067416</v>
      </c>
      <c r="D315" s="384">
        <f t="shared" si="43"/>
        <v>3.4731450809999995E-2</v>
      </c>
      <c r="E315" s="338">
        <v>3.6317756037166711</v>
      </c>
      <c r="F315" s="384">
        <f t="shared" si="42"/>
        <v>0.2753474082970942</v>
      </c>
    </row>
    <row r="316" spans="2:6" x14ac:dyDescent="0.3">
      <c r="B316" s="337">
        <v>31.2</v>
      </c>
      <c r="C316" s="338">
        <v>28.798323286972984</v>
      </c>
      <c r="D316" s="384">
        <f t="shared" si="43"/>
        <v>3.4724243839999995E-2</v>
      </c>
      <c r="E316" s="338">
        <v>3.6280558833836536</v>
      </c>
      <c r="F316" s="384">
        <f t="shared" si="42"/>
        <v>0.27562971248043855</v>
      </c>
    </row>
    <row r="317" spans="2:6" x14ac:dyDescent="0.3">
      <c r="B317" s="337">
        <v>31.3</v>
      </c>
      <c r="C317" s="338">
        <v>28.803419467300706</v>
      </c>
      <c r="D317" s="384">
        <f t="shared" si="43"/>
        <v>3.4718100089999988E-2</v>
      </c>
      <c r="E317" s="338">
        <v>3.6242705169944793</v>
      </c>
      <c r="F317" s="384">
        <f t="shared" si="42"/>
        <v>0.27591759370911312</v>
      </c>
    </row>
    <row r="318" spans="2:6" x14ac:dyDescent="0.3">
      <c r="B318" s="337">
        <v>31.4</v>
      </c>
      <c r="C318" s="338">
        <v>28.807635079729735</v>
      </c>
      <c r="D318" s="384">
        <f t="shared" si="43"/>
        <v>3.4713019559999982E-2</v>
      </c>
      <c r="E318" s="338">
        <v>3.6204203767846903</v>
      </c>
      <c r="F318" s="384">
        <f t="shared" si="42"/>
        <v>0.27621101859119024</v>
      </c>
    </row>
    <row r="319" spans="2:6" x14ac:dyDescent="0.3">
      <c r="B319" s="337">
        <v>31.5</v>
      </c>
      <c r="C319" s="338">
        <v>28.810969350177729</v>
      </c>
      <c r="D319" s="384">
        <f t="shared" si="43"/>
        <v>3.4709002250000009E-2</v>
      </c>
      <c r="E319" s="338">
        <v>3.6165063328350162</v>
      </c>
      <c r="F319" s="384">
        <f t="shared" si="42"/>
        <v>0.27650995407385054</v>
      </c>
    </row>
    <row r="320" spans="2:6" x14ac:dyDescent="0.3">
      <c r="B320" s="337">
        <v>31.6</v>
      </c>
      <c r="C320" s="338">
        <v>28.813421666156067</v>
      </c>
      <c r="D320" s="384">
        <f t="shared" si="43"/>
        <v>3.4706048160000003E-2</v>
      </c>
      <c r="E320" s="338">
        <v>3.6125292529136996</v>
      </c>
      <c r="F320" s="384">
        <f t="shared" si="42"/>
        <v>0.27681436743894766</v>
      </c>
    </row>
    <row r="321" spans="2:6" x14ac:dyDescent="0.3">
      <c r="B321" s="337">
        <v>31.7</v>
      </c>
      <c r="C321" s="338">
        <v>28.814991577050915</v>
      </c>
      <c r="D321" s="384">
        <f t="shared" si="43"/>
        <v>3.4704157289999996E-2</v>
      </c>
      <c r="E321" s="338">
        <v>3.6084900023223341</v>
      </c>
      <c r="F321" s="384">
        <f t="shared" si="42"/>
        <v>0.27712422629865263</v>
      </c>
    </row>
    <row r="322" spans="2:6" x14ac:dyDescent="0.3">
      <c r="B322" s="337">
        <v>31.8</v>
      </c>
      <c r="C322" s="338">
        <v>28.815678794330239</v>
      </c>
      <c r="D322" s="384">
        <f t="shared" si="43"/>
        <v>3.4703329639999995E-2</v>
      </c>
      <c r="E322" s="338">
        <v>3.6043894437452266</v>
      </c>
      <c r="F322" s="384">
        <f t="shared" si="42"/>
        <v>0.27743949859117506</v>
      </c>
    </row>
    <row r="323" spans="2:6" x14ac:dyDescent="0.3">
      <c r="B323" s="337">
        <v>31.9</v>
      </c>
      <c r="C323" s="338">
        <v>28.815483191676375</v>
      </c>
      <c r="D323" s="384">
        <f t="shared" si="43"/>
        <v>3.4703565210000002E-2</v>
      </c>
      <c r="E323" s="338">
        <v>3.6002284371025346</v>
      </c>
      <c r="F323" s="384">
        <f t="shared" si="42"/>
        <v>0.27776015257654052</v>
      </c>
    </row>
    <row r="324" spans="2:6" x14ac:dyDescent="0.3">
      <c r="B324" s="337">
        <v>32</v>
      </c>
      <c r="C324" s="338">
        <v>28.814404805044042</v>
      </c>
      <c r="D324" s="384">
        <f t="shared" si="43"/>
        <v>3.4704864000000002E-2</v>
      </c>
      <c r="E324" s="338">
        <v>3.5960078394068513</v>
      </c>
      <c r="F324" s="384">
        <f t="shared" si="42"/>
        <v>0.27808615683244631</v>
      </c>
    </row>
    <row r="325" spans="2:6" x14ac:dyDescent="0.3">
      <c r="B325" s="331">
        <v>32.1</v>
      </c>
      <c r="C325" s="332">
        <v>28.812443832643822</v>
      </c>
      <c r="D325" s="385">
        <f t="shared" si="43"/>
        <v>3.4707226010000009E-2</v>
      </c>
      <c r="E325" s="332">
        <v>3.5917285046234917</v>
      </c>
      <c r="F325" s="385">
        <f t="shared" ref="F325:F388" si="44">1/E325</f>
        <v>0.27841748025017454</v>
      </c>
    </row>
    <row r="326" spans="2:6" x14ac:dyDescent="0.3">
      <c r="B326" s="331">
        <v>32.200000000000003</v>
      </c>
      <c r="C326" s="332">
        <v>28.809600634851122</v>
      </c>
      <c r="D326" s="385">
        <f t="shared" ref="D326:D389" si="45">1/C326</f>
        <v>3.4710651240000001E-2</v>
      </c>
      <c r="E326" s="332">
        <v>3.5873912835342443</v>
      </c>
      <c r="F326" s="385">
        <f t="shared" si="44"/>
        <v>0.27875409203057855</v>
      </c>
    </row>
    <row r="327" spans="2:6" x14ac:dyDescent="0.3">
      <c r="B327" s="331">
        <v>32.299999999999997</v>
      </c>
      <c r="C327" s="332">
        <v>28.805875734040566</v>
      </c>
      <c r="D327" s="385">
        <f t="shared" si="45"/>
        <v>3.4715139690000014E-2</v>
      </c>
      <c r="E327" s="332">
        <v>3.5829970236048223</v>
      </c>
      <c r="F327" s="385">
        <f t="shared" si="44"/>
        <v>0.27909596168012124</v>
      </c>
    </row>
    <row r="328" spans="2:6" x14ac:dyDescent="0.3">
      <c r="B328" s="331">
        <v>32.4</v>
      </c>
      <c r="C328" s="332">
        <v>28.801269814346224</v>
      </c>
      <c r="D328" s="385">
        <f t="shared" si="45"/>
        <v>3.4720691360000007E-2</v>
      </c>
      <c r="E328" s="332">
        <v>3.5785465688556126</v>
      </c>
      <c r="F328" s="385">
        <f t="shared" si="44"/>
        <v>0.27944305900699545</v>
      </c>
    </row>
    <row r="329" spans="2:6" x14ac:dyDescent="0.3">
      <c r="B329" s="331">
        <v>32.5</v>
      </c>
      <c r="C329" s="332">
        <v>28.795783721347512</v>
      </c>
      <c r="D329" s="385">
        <f t="shared" si="45"/>
        <v>3.4727306250000013E-2</v>
      </c>
      <c r="E329" s="332">
        <v>3.5740407597362189</v>
      </c>
      <c r="F329" s="385">
        <f t="shared" si="44"/>
        <v>0.2797953541172834</v>
      </c>
    </row>
    <row r="330" spans="2:6" x14ac:dyDescent="0.3">
      <c r="B330" s="331">
        <v>32.6</v>
      </c>
      <c r="C330" s="332">
        <v>28.789418461681432</v>
      </c>
      <c r="D330" s="385">
        <f t="shared" si="45"/>
        <v>3.4734984360000005E-2</v>
      </c>
      <c r="E330" s="332">
        <v>3.5694804330033545</v>
      </c>
      <c r="F330" s="385">
        <f t="shared" si="44"/>
        <v>0.2801528174111888</v>
      </c>
    </row>
    <row r="331" spans="2:6" x14ac:dyDescent="0.3">
      <c r="B331" s="331">
        <v>32.700000000000003</v>
      </c>
      <c r="C331" s="332">
        <v>28.782175202581136</v>
      </c>
      <c r="D331" s="385">
        <f t="shared" si="45"/>
        <v>3.4743725690000025E-2</v>
      </c>
      <c r="E331" s="332">
        <v>3.5648664216021855</v>
      </c>
      <c r="F331" s="385">
        <f t="shared" si="44"/>
        <v>0.28051541957932952</v>
      </c>
    </row>
    <row r="332" spans="2:6" x14ac:dyDescent="0.3">
      <c r="B332" s="331">
        <v>32.799999999999997</v>
      </c>
      <c r="C332" s="332">
        <v>28.774055271341531</v>
      </c>
      <c r="D332" s="385">
        <f t="shared" si="45"/>
        <v>3.4753530240000025E-2</v>
      </c>
      <c r="E332" s="332">
        <v>3.5601995545512639</v>
      </c>
      <c r="F332" s="385">
        <f t="shared" si="44"/>
        <v>0.28088313159907757</v>
      </c>
    </row>
    <row r="333" spans="2:6" x14ac:dyDescent="0.3">
      <c r="B333" s="331">
        <v>32.9</v>
      </c>
      <c r="C333" s="332">
        <v>28.765060154711971</v>
      </c>
      <c r="D333" s="385">
        <f t="shared" si="45"/>
        <v>3.476439801000003E-2</v>
      </c>
      <c r="E333" s="332">
        <v>3.5554806568307025</v>
      </c>
      <c r="F333" s="385">
        <f t="shared" si="44"/>
        <v>0.28125592473097116</v>
      </c>
    </row>
    <row r="334" spans="2:6" x14ac:dyDescent="0.3">
      <c r="B334" s="331">
        <v>33</v>
      </c>
      <c r="C334" s="332">
        <v>28.755191498217055</v>
      </c>
      <c r="D334" s="385">
        <f t="shared" si="45"/>
        <v>3.4776329000000029E-2</v>
      </c>
      <c r="E334" s="332">
        <v>3.5507105492739224</v>
      </c>
      <c r="F334" s="385">
        <f t="shared" si="44"/>
        <v>0.28163377051516858</v>
      </c>
    </row>
    <row r="335" spans="2:6" x14ac:dyDescent="0.3">
      <c r="B335" s="337">
        <v>33.1</v>
      </c>
      <c r="C335" s="338">
        <v>28.744451105405659</v>
      </c>
      <c r="D335" s="384">
        <f t="shared" si="45"/>
        <v>3.4789323210000028E-2</v>
      </c>
      <c r="E335" s="338">
        <v>3.5458900484627085</v>
      </c>
      <c r="F335" s="384">
        <f t="shared" si="44"/>
        <v>0.28201664076796229</v>
      </c>
    </row>
    <row r="336" spans="2:6" x14ac:dyDescent="0.3">
      <c r="B336" s="337">
        <v>33.200000000000003</v>
      </c>
      <c r="C336" s="338">
        <v>28.732840937029131</v>
      </c>
      <c r="D336" s="384">
        <f t="shared" si="45"/>
        <v>3.4803380640000034E-2</v>
      </c>
      <c r="E336" s="338">
        <v>3.5410199666255706</v>
      </c>
      <c r="F336" s="384">
        <f t="shared" si="44"/>
        <v>0.28240450757835012</v>
      </c>
    </row>
    <row r="337" spans="2:6" x14ac:dyDescent="0.3">
      <c r="B337" s="337">
        <v>33.299999999999997</v>
      </c>
      <c r="C337" s="338">
        <v>28.720363110149218</v>
      </c>
      <c r="D337" s="384">
        <f t="shared" si="45"/>
        <v>3.4818501290000033E-2</v>
      </c>
      <c r="E337" s="338">
        <v>3.5361011115394994</v>
      </c>
      <c r="F337" s="384">
        <f t="shared" si="44"/>
        <v>0.28279734330465278</v>
      </c>
    </row>
    <row r="338" spans="2:6" x14ac:dyDescent="0.3">
      <c r="B338" s="337">
        <v>33.4</v>
      </c>
      <c r="C338" s="338">
        <v>28.707019897176501</v>
      </c>
      <c r="D338" s="384">
        <f t="shared" si="45"/>
        <v>3.4834685160000038E-2</v>
      </c>
      <c r="E338" s="338">
        <v>3.5311342864349502</v>
      </c>
      <c r="F338" s="384">
        <f t="shared" si="44"/>
        <v>0.28319512057118756</v>
      </c>
    </row>
    <row r="339" spans="2:6" x14ac:dyDescent="0.3">
      <c r="B339" s="337">
        <v>33.5</v>
      </c>
      <c r="C339" s="338">
        <v>28.692813724840143</v>
      </c>
      <c r="D339" s="384">
        <f t="shared" si="45"/>
        <v>3.4851932250000044E-2</v>
      </c>
      <c r="E339" s="338">
        <v>3.5261202899040334</v>
      </c>
      <c r="F339" s="384">
        <f t="shared" si="44"/>
        <v>0.28359781226499675</v>
      </c>
    </row>
    <row r="340" spans="2:6" x14ac:dyDescent="0.3">
      <c r="B340" s="337">
        <v>33.6</v>
      </c>
      <c r="C340" s="338">
        <v>28.677747173089895</v>
      </c>
      <c r="D340" s="384">
        <f t="shared" si="45"/>
        <v>3.4870242560000035E-2</v>
      </c>
      <c r="E340" s="338">
        <v>3.5210599158120917</v>
      </c>
      <c r="F340" s="384">
        <f t="shared" si="44"/>
        <v>0.28400539153261228</v>
      </c>
    </row>
    <row r="341" spans="2:6" x14ac:dyDescent="0.3">
      <c r="B341" s="337">
        <v>33.700000000000003</v>
      </c>
      <c r="C341" s="338">
        <v>28.661822973931127</v>
      </c>
      <c r="D341" s="384">
        <f t="shared" si="45"/>
        <v>3.4889616090000033E-2</v>
      </c>
      <c r="E341" s="338">
        <v>3.515953953212291</v>
      </c>
      <c r="F341" s="384">
        <f t="shared" si="44"/>
        <v>0.28441783177688296</v>
      </c>
    </row>
    <row r="342" spans="2:6" x14ac:dyDescent="0.3">
      <c r="B342" s="337">
        <v>33.799999999999997</v>
      </c>
      <c r="C342" s="338">
        <v>28.645044010194027</v>
      </c>
      <c r="D342" s="384">
        <f t="shared" si="45"/>
        <v>3.4910052840000032E-2</v>
      </c>
      <c r="E342" s="338">
        <v>3.5108031862633897</v>
      </c>
      <c r="F342" s="384">
        <f t="shared" si="44"/>
        <v>0.28483510665384743</v>
      </c>
    </row>
    <row r="343" spans="2:6" x14ac:dyDescent="0.3">
      <c r="B343" s="337">
        <v>33.9</v>
      </c>
      <c r="C343" s="338">
        <v>28.627413314237902</v>
      </c>
      <c r="D343" s="384">
        <f t="shared" si="45"/>
        <v>3.4931552810000058E-2</v>
      </c>
      <c r="E343" s="338">
        <v>3.5056083941507121</v>
      </c>
      <c r="F343" s="384">
        <f t="shared" si="44"/>
        <v>0.28525719006964712</v>
      </c>
    </row>
    <row r="344" spans="2:6" x14ac:dyDescent="0.3">
      <c r="B344" s="337">
        <v>34</v>
      </c>
      <c r="C344" s="338">
        <v>28.608934066591711</v>
      </c>
      <c r="D344" s="384">
        <f t="shared" si="45"/>
        <v>3.4954116000000056E-2</v>
      </c>
      <c r="E344" s="338">
        <v>3.5003703510100821</v>
      </c>
      <c r="F344" s="384">
        <f t="shared" si="44"/>
        <v>0.28568405617749437</v>
      </c>
    </row>
    <row r="345" spans="2:6" x14ac:dyDescent="0.3">
      <c r="B345" s="331">
        <v>34.1</v>
      </c>
      <c r="C345" s="332">
        <v>28.589609594531822</v>
      </c>
      <c r="D345" s="385">
        <f t="shared" si="45"/>
        <v>3.4977742410000047E-2</v>
      </c>
      <c r="E345" s="332">
        <v>3.4950898258548739</v>
      </c>
      <c r="F345" s="385">
        <f t="shared" si="44"/>
        <v>0.28611567937468019</v>
      </c>
    </row>
    <row r="346" spans="2:6" x14ac:dyDescent="0.3">
      <c r="B346" s="331">
        <v>34.200000000000003</v>
      </c>
      <c r="C346" s="332">
        <v>28.569443370598393</v>
      </c>
      <c r="D346" s="385">
        <f t="shared" si="45"/>
        <v>3.5002432040000045E-2</v>
      </c>
      <c r="E346" s="332">
        <v>3.4897675825060217</v>
      </c>
      <c r="F346" s="385">
        <f t="shared" si="44"/>
        <v>0.28655203429962933</v>
      </c>
    </row>
    <row r="347" spans="2:6" x14ac:dyDescent="0.3">
      <c r="B347" s="331">
        <v>34.299999999999997</v>
      </c>
      <c r="C347" s="332">
        <v>28.548439011051443</v>
      </c>
      <c r="D347" s="385">
        <f t="shared" si="45"/>
        <v>3.5028184890000043E-2</v>
      </c>
      <c r="E347" s="332">
        <v>3.4844043795249497</v>
      </c>
      <c r="F347" s="385">
        <f t="shared" si="44"/>
        <v>0.28699309582900251</v>
      </c>
    </row>
    <row r="348" spans="2:6" x14ac:dyDescent="0.3">
      <c r="B348" s="331">
        <v>34.4</v>
      </c>
      <c r="C348" s="332">
        <v>28.526600274267931</v>
      </c>
      <c r="D348" s="385">
        <f t="shared" si="45"/>
        <v>3.5055000960000048E-2</v>
      </c>
      <c r="E348" s="332">
        <v>3.4790009701495483</v>
      </c>
      <c r="F348" s="385">
        <f t="shared" si="44"/>
        <v>0.28743883907483186</v>
      </c>
    </row>
    <row r="349" spans="2:6" x14ac:dyDescent="0.3">
      <c r="B349" s="331">
        <v>34.5</v>
      </c>
      <c r="C349" s="332">
        <v>28.503931059081101</v>
      </c>
      <c r="D349" s="385">
        <f t="shared" si="45"/>
        <v>3.5082880250000073E-2</v>
      </c>
      <c r="E349" s="332">
        <v>3.4735581022328468</v>
      </c>
      <c r="F349" s="385">
        <f t="shared" si="44"/>
        <v>0.28788923938171279</v>
      </c>
    </row>
    <row r="350" spans="2:6" x14ac:dyDescent="0.3">
      <c r="B350" s="331">
        <v>34.6</v>
      </c>
      <c r="C350" s="332">
        <v>28.480435403063595</v>
      </c>
      <c r="D350" s="385">
        <f t="shared" si="45"/>
        <v>3.5111822760000064E-2</v>
      </c>
      <c r="E350" s="332">
        <v>3.4680765181847129</v>
      </c>
      <c r="F350" s="385">
        <f t="shared" si="44"/>
        <v>0.28834427232402232</v>
      </c>
    </row>
    <row r="351" spans="2:6" x14ac:dyDescent="0.3">
      <c r="B351" s="331">
        <v>34.700000000000003</v>
      </c>
      <c r="C351" s="332">
        <v>28.456117480755427</v>
      </c>
      <c r="D351" s="385">
        <f t="shared" si="45"/>
        <v>3.5141828490000068E-2</v>
      </c>
      <c r="E351" s="332">
        <v>3.4625569549161805</v>
      </c>
      <c r="F351" s="385">
        <f t="shared" si="44"/>
        <v>0.28880391370319203</v>
      </c>
    </row>
    <row r="352" spans="2:6" x14ac:dyDescent="0.3">
      <c r="B352" s="331">
        <v>34.799999999999997</v>
      </c>
      <c r="C352" s="332">
        <v>28.430981601838656</v>
      </c>
      <c r="D352" s="385">
        <f t="shared" si="45"/>
        <v>3.5172897440000073E-2</v>
      </c>
      <c r="E352" s="332">
        <v>3.4570001437865949</v>
      </c>
      <c r="F352" s="385">
        <f t="shared" si="44"/>
        <v>0.28926813954501568</v>
      </c>
    </row>
    <row r="353" spans="2:6" x14ac:dyDescent="0.3">
      <c r="B353" s="331">
        <v>34.9</v>
      </c>
      <c r="C353" s="332">
        <v>28.40503220925989</v>
      </c>
      <c r="D353" s="385">
        <f t="shared" si="45"/>
        <v>3.5205029610000063E-2</v>
      </c>
      <c r="E353" s="332">
        <v>3.4514068105535385</v>
      </c>
      <c r="F353" s="385">
        <f t="shared" si="44"/>
        <v>0.28973692609699042</v>
      </c>
    </row>
    <row r="354" spans="2:6" x14ac:dyDescent="0.3">
      <c r="B354" s="331">
        <v>35</v>
      </c>
      <c r="C354" s="332">
        <v>28.37827387730222</v>
      </c>
      <c r="D354" s="385">
        <f t="shared" si="45"/>
        <v>3.5238225000000067E-2</v>
      </c>
      <c r="E354" s="332">
        <v>3.4457776753252896</v>
      </c>
      <c r="F354" s="385">
        <f t="shared" si="44"/>
        <v>0.29021024982570809</v>
      </c>
    </row>
    <row r="355" spans="2:6" x14ac:dyDescent="0.3">
      <c r="B355" s="337">
        <v>35.1</v>
      </c>
      <c r="C355" s="338">
        <v>28.350711309608236</v>
      </c>
      <c r="D355" s="384">
        <f t="shared" si="45"/>
        <v>3.5272483610000065E-2</v>
      </c>
      <c r="E355" s="338">
        <v>3.440113452516008</v>
      </c>
      <c r="F355" s="384">
        <f t="shared" si="44"/>
        <v>0.29068808741427599</v>
      </c>
    </row>
    <row r="356" spans="2:6" x14ac:dyDescent="0.3">
      <c r="B356" s="337">
        <v>35.200000000000003</v>
      </c>
      <c r="C356" s="338">
        <v>28.322349337155455</v>
      </c>
      <c r="D356" s="384">
        <f t="shared" si="45"/>
        <v>3.5307805440000083E-2</v>
      </c>
      <c r="E356" s="338">
        <v>3.434414850803432</v>
      </c>
      <c r="F356" s="384">
        <f t="shared" si="44"/>
        <v>0.29117041575978053</v>
      </c>
    </row>
    <row r="357" spans="2:6" x14ac:dyDescent="0.3">
      <c r="B357" s="337">
        <v>35.299999999999997</v>
      </c>
      <c r="C357" s="338">
        <v>28.293192916186026</v>
      </c>
      <c r="D357" s="384">
        <f t="shared" si="45"/>
        <v>3.5344190490000087E-2</v>
      </c>
      <c r="E357" s="338">
        <v>3.4286825730891883</v>
      </c>
      <c r="F357" s="384">
        <f t="shared" si="44"/>
        <v>0.29165721197078209</v>
      </c>
    </row>
    <row r="358" spans="2:6" x14ac:dyDescent="0.3">
      <c r="B358" s="337">
        <v>35.4</v>
      </c>
      <c r="C358" s="338">
        <v>28.263247126092065</v>
      </c>
      <c r="D358" s="384">
        <f t="shared" si="45"/>
        <v>3.5381638760000084E-2</v>
      </c>
      <c r="E358" s="338">
        <v>3.4229173164614952</v>
      </c>
      <c r="F358" s="384">
        <f t="shared" si="44"/>
        <v>0.29214845336485334</v>
      </c>
    </row>
    <row r="359" spans="2:6" x14ac:dyDescent="0.3">
      <c r="B359" s="337">
        <v>35.5</v>
      </c>
      <c r="C359" s="338">
        <v>28.232517167258415</v>
      </c>
      <c r="D359" s="384">
        <f t="shared" si="45"/>
        <v>3.5420150250000088E-2</v>
      </c>
      <c r="E359" s="338">
        <v>3.4171197721604152</v>
      </c>
      <c r="F359" s="384">
        <f t="shared" si="44"/>
        <v>0.29264411746614521</v>
      </c>
    </row>
    <row r="360" spans="2:6" x14ac:dyDescent="0.3">
      <c r="B360" s="337">
        <v>35.6</v>
      </c>
      <c r="C360" s="338">
        <v>28.201008358864538</v>
      </c>
      <c r="D360" s="384">
        <f t="shared" si="45"/>
        <v>3.5459724960000091E-2</v>
      </c>
      <c r="E360" s="338">
        <v>3.4112906255453797</v>
      </c>
      <c r="F360" s="384">
        <f t="shared" si="44"/>
        <v>0.29314418200299924</v>
      </c>
    </row>
    <row r="361" spans="2:6" x14ac:dyDescent="0.3">
      <c r="B361" s="337">
        <v>35.700000000000003</v>
      </c>
      <c r="C361" s="338">
        <v>28.168726136647035</v>
      </c>
      <c r="D361" s="384">
        <f t="shared" si="45"/>
        <v>3.5500362890000088E-2</v>
      </c>
      <c r="E361" s="338">
        <v>3.4054305560652813</v>
      </c>
      <c r="F361" s="384">
        <f t="shared" si="44"/>
        <v>0.29364862490557575</v>
      </c>
    </row>
    <row r="362" spans="2:6" x14ac:dyDescent="0.3">
      <c r="B362" s="337">
        <v>35.799999999999997</v>
      </c>
      <c r="C362" s="338">
        <v>28.135676050624696</v>
      </c>
      <c r="D362" s="384">
        <f t="shared" si="45"/>
        <v>3.5542064040000099E-2</v>
      </c>
      <c r="E362" s="338">
        <v>3.3995402372306356</v>
      </c>
      <c r="F362" s="384">
        <f t="shared" si="44"/>
        <v>0.29415742430353731</v>
      </c>
    </row>
    <row r="363" spans="2:6" x14ac:dyDescent="0.3">
      <c r="B363" s="337">
        <v>35.9</v>
      </c>
      <c r="C363" s="338">
        <v>28.101863762787698</v>
      </c>
      <c r="D363" s="384">
        <f t="shared" si="45"/>
        <v>3.5584828410000102E-2</v>
      </c>
      <c r="E363" s="338">
        <v>3.3936203365882047</v>
      </c>
      <c r="F363" s="384">
        <f t="shared" si="44"/>
        <v>0.29467055852374918</v>
      </c>
    </row>
    <row r="364" spans="2:6" x14ac:dyDescent="0.3">
      <c r="B364" s="337">
        <v>36</v>
      </c>
      <c r="C364" s="338">
        <v>28.067295044752658</v>
      </c>
      <c r="D364" s="384">
        <f t="shared" si="45"/>
        <v>3.5628656000000106E-2</v>
      </c>
      <c r="E364" s="338">
        <v>3.3876715156977419</v>
      </c>
      <c r="F364" s="384">
        <f t="shared" si="44"/>
        <v>0.29518800608802087</v>
      </c>
    </row>
    <row r="365" spans="2:6" x14ac:dyDescent="0.3">
      <c r="B365" s="331">
        <v>36.1</v>
      </c>
      <c r="C365" s="332">
        <v>28.031975775385408</v>
      </c>
      <c r="D365" s="385">
        <f t="shared" si="45"/>
        <v>3.5673546810000095E-2</v>
      </c>
      <c r="E365" s="332">
        <v>3.3816944301109526</v>
      </c>
      <c r="F365" s="385">
        <f t="shared" si="44"/>
        <v>0.29570974571087733</v>
      </c>
    </row>
    <row r="366" spans="2:6" x14ac:dyDescent="0.3">
      <c r="B366" s="331">
        <v>36.200000000000003</v>
      </c>
      <c r="C366" s="332">
        <v>27.995911938393061</v>
      </c>
      <c r="D366" s="385">
        <f t="shared" si="45"/>
        <v>3.5719500840000105E-2</v>
      </c>
      <c r="E366" s="332">
        <v>3.3756897293525983</v>
      </c>
      <c r="F366" s="385">
        <f t="shared" si="44"/>
        <v>0.29623575629736076</v>
      </c>
    </row>
    <row r="367" spans="2:6" x14ac:dyDescent="0.3">
      <c r="B367" s="331">
        <v>36.299999999999997</v>
      </c>
      <c r="C367" s="332">
        <v>27.959109619887439</v>
      </c>
      <c r="D367" s="385">
        <f t="shared" si="45"/>
        <v>3.5766518090000102E-2</v>
      </c>
      <c r="E367" s="332">
        <v>3.369658056903702</v>
      </c>
      <c r="F367" s="385">
        <f t="shared" si="44"/>
        <v>0.29676601694086313</v>
      </c>
    </row>
    <row r="368" spans="2:6" x14ac:dyDescent="0.3">
      <c r="B368" s="331">
        <v>36.4</v>
      </c>
      <c r="C368" s="332">
        <v>27.921575005921188</v>
      </c>
      <c r="D368" s="385">
        <f t="shared" si="45"/>
        <v>3.5814598560000112E-2</v>
      </c>
      <c r="E368" s="332">
        <v>3.3636000501867187</v>
      </c>
      <c r="F368" s="385">
        <f t="shared" si="44"/>
        <v>0.2973005069209963</v>
      </c>
    </row>
    <row r="369" spans="2:6" x14ac:dyDescent="0.3">
      <c r="B369" s="331">
        <v>36.5</v>
      </c>
      <c r="C369" s="332">
        <v>27.883314379998836</v>
      </c>
      <c r="D369" s="385">
        <f t="shared" si="45"/>
        <v>3.5863742250000115E-2</v>
      </c>
      <c r="E369" s="332">
        <v>3.3575163405528805</v>
      </c>
      <c r="F369" s="385">
        <f t="shared" si="44"/>
        <v>0.29783920570147709</v>
      </c>
    </row>
    <row r="370" spans="2:6" x14ac:dyDescent="0.3">
      <c r="B370" s="331">
        <v>36.6</v>
      </c>
      <c r="C370" s="332">
        <v>27.844334120564223</v>
      </c>
      <c r="D370" s="385">
        <f t="shared" si="45"/>
        <v>3.5913949160000111E-2</v>
      </c>
      <c r="E370" s="332">
        <v>3.351407553271315</v>
      </c>
      <c r="F370" s="385">
        <f t="shared" si="44"/>
        <v>0.2983820929280589</v>
      </c>
    </row>
    <row r="371" spans="2:6" x14ac:dyDescent="0.3">
      <c r="B371" s="331">
        <v>36.700000000000003</v>
      </c>
      <c r="C371" s="332">
        <v>27.804640698466226</v>
      </c>
      <c r="D371" s="385">
        <f t="shared" si="45"/>
        <v>3.5965219290000121E-2</v>
      </c>
      <c r="E371" s="332">
        <v>3.3452743075201909</v>
      </c>
      <c r="F371" s="385">
        <f t="shared" si="44"/>
        <v>0.29892914842648199</v>
      </c>
    </row>
    <row r="372" spans="2:6" x14ac:dyDescent="0.3">
      <c r="B372" s="331">
        <v>36.799999999999997</v>
      </c>
      <c r="C372" s="332">
        <v>27.764240674404597</v>
      </c>
      <c r="D372" s="385">
        <f t="shared" si="45"/>
        <v>3.6017552640000117E-2</v>
      </c>
      <c r="E372" s="332">
        <v>3.3391172163797438</v>
      </c>
      <c r="F372" s="385">
        <f t="shared" si="44"/>
        <v>0.29948035220045244</v>
      </c>
    </row>
    <row r="373" spans="2:6" x14ac:dyDescent="0.3">
      <c r="B373" s="331">
        <v>36.9</v>
      </c>
      <c r="C373" s="332">
        <v>27.723140696357532</v>
      </c>
      <c r="D373" s="385">
        <f t="shared" si="45"/>
        <v>3.6070949210000126E-2</v>
      </c>
      <c r="E373" s="332">
        <v>3.3329368868270479</v>
      </c>
      <c r="F373" s="385">
        <f t="shared" si="44"/>
        <v>0.30003568442965595</v>
      </c>
    </row>
    <row r="374" spans="2:6" x14ac:dyDescent="0.3">
      <c r="B374" s="331">
        <v>37</v>
      </c>
      <c r="C374" s="332">
        <v>27.681347496992931</v>
      </c>
      <c r="D374" s="385">
        <f t="shared" si="45"/>
        <v>3.612540900000015E-2</v>
      </c>
      <c r="E374" s="332">
        <v>3.3267339197326766</v>
      </c>
      <c r="F374" s="385">
        <f t="shared" si="44"/>
        <v>0.30059512546779099</v>
      </c>
    </row>
    <row r="375" spans="2:6" x14ac:dyDescent="0.3">
      <c r="B375" s="337">
        <v>37.1</v>
      </c>
      <c r="C375" s="338">
        <v>27.63886789106504</v>
      </c>
      <c r="D375" s="384">
        <f t="shared" si="45"/>
        <v>3.6180932010000132E-2</v>
      </c>
      <c r="E375" s="338">
        <v>3.3205089098590652</v>
      </c>
      <c r="F375" s="384">
        <f t="shared" si="44"/>
        <v>0.30115865584063251</v>
      </c>
    </row>
    <row r="376" spans="2:6" x14ac:dyDescent="0.3">
      <c r="B376" s="337">
        <v>37.200000000000003</v>
      </c>
      <c r="C376" s="338">
        <v>27.595708772798016</v>
      </c>
      <c r="D376" s="384">
        <f t="shared" si="45"/>
        <v>3.6237518240000141E-2</v>
      </c>
      <c r="E376" s="338">
        <v>3.3142624458604928</v>
      </c>
      <c r="F376" s="384">
        <f t="shared" si="44"/>
        <v>0.30172625624412996</v>
      </c>
    </row>
    <row r="377" spans="2:6" x14ac:dyDescent="0.3">
      <c r="B377" s="337">
        <v>37.299999999999997</v>
      </c>
      <c r="C377" s="338">
        <v>27.551877113258659</v>
      </c>
      <c r="D377" s="384">
        <f t="shared" si="45"/>
        <v>3.6295167690000144E-2</v>
      </c>
      <c r="E377" s="338">
        <v>3.3079951102849576</v>
      </c>
      <c r="F377" s="384">
        <f t="shared" si="44"/>
        <v>0.30229790754251079</v>
      </c>
    </row>
    <row r="378" spans="2:6" x14ac:dyDescent="0.3">
      <c r="B378" s="337">
        <v>37.4</v>
      </c>
      <c r="C378" s="338">
        <v>27.507379957719493</v>
      </c>
      <c r="D378" s="384">
        <f t="shared" si="45"/>
        <v>3.6353880360000132E-2</v>
      </c>
      <c r="E378" s="338">
        <v>3.3017074795773422</v>
      </c>
      <c r="F378" s="384">
        <f t="shared" si="44"/>
        <v>0.30287359076643938</v>
      </c>
    </row>
    <row r="379" spans="2:6" x14ac:dyDescent="0.3">
      <c r="B379" s="337">
        <v>37.5</v>
      </c>
      <c r="C379" s="338">
        <v>27.462224423014266</v>
      </c>
      <c r="D379" s="384">
        <f t="shared" si="45"/>
        <v>3.6413656250000141E-2</v>
      </c>
      <c r="E379" s="338">
        <v>3.2954001240844963</v>
      </c>
      <c r="F379" s="384">
        <f t="shared" si="44"/>
        <v>0.30345328711117064</v>
      </c>
    </row>
    <row r="380" spans="2:6" x14ac:dyDescent="0.3">
      <c r="B380" s="337">
        <v>37.6</v>
      </c>
      <c r="C380" s="338">
        <v>27.416417694887489</v>
      </c>
      <c r="D380" s="384">
        <f t="shared" si="45"/>
        <v>3.6474495360000157E-2</v>
      </c>
      <c r="E380" s="338">
        <v>3.2890736080615621</v>
      </c>
      <c r="F380" s="384">
        <f t="shared" si="44"/>
        <v>0.30403697793475554</v>
      </c>
    </row>
    <row r="381" spans="2:6" x14ac:dyDescent="0.3">
      <c r="B381" s="337">
        <v>37.700000000000003</v>
      </c>
      <c r="C381" s="338">
        <v>27.369967025339637</v>
      </c>
      <c r="D381" s="384">
        <f t="shared" si="45"/>
        <v>3.6536397690000173E-2</v>
      </c>
      <c r="E381" s="338">
        <v>3.2827284896800561</v>
      </c>
      <c r="F381" s="384">
        <f t="shared" si="44"/>
        <v>0.30462464475624751</v>
      </c>
    </row>
    <row r="382" spans="2:6" x14ac:dyDescent="0.3">
      <c r="B382" s="337">
        <v>37.799999999999997</v>
      </c>
      <c r="C382" s="338">
        <v>27.322879729969742</v>
      </c>
      <c r="D382" s="384">
        <f t="shared" si="45"/>
        <v>3.6599363240000155E-2</v>
      </c>
      <c r="E382" s="338">
        <v>3.276365321037189</v>
      </c>
      <c r="F382" s="384">
        <f t="shared" si="44"/>
        <v>0.30521626925395273</v>
      </c>
    </row>
    <row r="383" spans="2:6" x14ac:dyDescent="0.3">
      <c r="B383" s="337">
        <v>37.9</v>
      </c>
      <c r="C383" s="338">
        <v>27.275163185316956</v>
      </c>
      <c r="D383" s="384">
        <f t="shared" si="45"/>
        <v>3.6663392010000156E-2</v>
      </c>
      <c r="E383" s="338">
        <v>3.2699846481667243</v>
      </c>
      <c r="F383" s="384">
        <f t="shared" si="44"/>
        <v>0.3058118332636936</v>
      </c>
    </row>
    <row r="384" spans="2:6" x14ac:dyDescent="0.3">
      <c r="B384" s="337">
        <v>38</v>
      </c>
      <c r="C384" s="338">
        <v>27.226824826202886</v>
      </c>
      <c r="D384" s="384">
        <f t="shared" si="45"/>
        <v>3.6728484000000165E-2</v>
      </c>
      <c r="E384" s="338">
        <v>3.2635870110512002</v>
      </c>
      <c r="F384" s="384">
        <f t="shared" si="44"/>
        <v>0.30641131877709621</v>
      </c>
    </row>
    <row r="385" spans="2:6" x14ac:dyDescent="0.3">
      <c r="B385" s="331">
        <v>38.1</v>
      </c>
      <c r="C385" s="332">
        <v>27.177872143076122</v>
      </c>
      <c r="D385" s="385">
        <f t="shared" si="45"/>
        <v>3.6794639210000167E-2</v>
      </c>
      <c r="E385" s="332">
        <v>3.2571729436354606</v>
      </c>
      <c r="F385" s="385">
        <f t="shared" si="44"/>
        <v>0.30701470793990449</v>
      </c>
    </row>
    <row r="386" spans="2:6" x14ac:dyDescent="0.3">
      <c r="B386" s="331">
        <v>38.200000000000003</v>
      </c>
      <c r="C386" s="332">
        <v>27.128312679360548</v>
      </c>
      <c r="D386" s="385">
        <f t="shared" si="45"/>
        <v>3.6861857640000169E-2</v>
      </c>
      <c r="E386" s="332">
        <v>3.2507429738414988</v>
      </c>
      <c r="F386" s="385">
        <f t="shared" si="44"/>
        <v>0.30762198305031496</v>
      </c>
    </row>
    <row r="387" spans="2:6" x14ac:dyDescent="0.3">
      <c r="B387" s="331">
        <v>38.299999999999997</v>
      </c>
      <c r="C387" s="332">
        <v>27.078154028809116</v>
      </c>
      <c r="D387" s="385">
        <f t="shared" si="45"/>
        <v>3.693013929000017E-2</v>
      </c>
      <c r="E387" s="332">
        <v>3.2442976235846084</v>
      </c>
      <c r="F387" s="385">
        <f t="shared" si="44"/>
        <v>0.30823312655733015</v>
      </c>
    </row>
    <row r="388" spans="2:6" x14ac:dyDescent="0.3">
      <c r="B388" s="331">
        <v>38.4</v>
      </c>
      <c r="C388" s="332">
        <v>27.02740383286455</v>
      </c>
      <c r="D388" s="385">
        <f t="shared" si="45"/>
        <v>3.6999484160000179E-2</v>
      </c>
      <c r="E388" s="332">
        <v>3.2378374087906288</v>
      </c>
      <c r="F388" s="385">
        <f t="shared" si="44"/>
        <v>0.30884812105914611</v>
      </c>
    </row>
    <row r="389" spans="2:6" x14ac:dyDescent="0.3">
      <c r="B389" s="331">
        <v>38.5</v>
      </c>
      <c r="C389" s="332">
        <v>26.976069778028414</v>
      </c>
      <c r="D389" s="385">
        <f t="shared" si="45"/>
        <v>3.7069892250000194E-2</v>
      </c>
      <c r="E389" s="332">
        <v>3.2313628394145879</v>
      </c>
      <c r="F389" s="385">
        <f t="shared" ref="F389:F452" si="46">1/E389</f>
        <v>0.30946694930154167</v>
      </c>
    </row>
    <row r="390" spans="2:6" x14ac:dyDescent="0.3">
      <c r="B390" s="331">
        <v>38.6</v>
      </c>
      <c r="C390" s="332">
        <v>26.924159593240162</v>
      </c>
      <c r="D390" s="385">
        <f t="shared" ref="D390:D453" si="47">1/C390</f>
        <v>3.7141363560000203E-2</v>
      </c>
      <c r="E390" s="332">
        <v>3.2248744194602583</v>
      </c>
      <c r="F390" s="385">
        <f t="shared" si="46"/>
        <v>0.3100895941763116</v>
      </c>
    </row>
    <row r="391" spans="2:6" x14ac:dyDescent="0.3">
      <c r="B391" s="331">
        <v>38.700000000000003</v>
      </c>
      <c r="C391" s="332">
        <v>26.87168104726743</v>
      </c>
      <c r="D391" s="385">
        <f t="shared" si="47"/>
        <v>3.7213898090000204E-2</v>
      </c>
      <c r="E391" s="332">
        <v>3.2183726470010301</v>
      </c>
      <c r="F391" s="385">
        <f t="shared" si="46"/>
        <v>0.31071603871970144</v>
      </c>
    </row>
    <row r="392" spans="2:6" x14ac:dyDescent="0.3">
      <c r="B392" s="331">
        <v>38.799999999999997</v>
      </c>
      <c r="C392" s="332">
        <v>26.818641946109153</v>
      </c>
      <c r="D392" s="385">
        <f t="shared" si="47"/>
        <v>3.7287495840000205E-2</v>
      </c>
      <c r="E392" s="332">
        <v>3.2118580142017277</v>
      </c>
      <c r="F392" s="385">
        <f t="shared" si="46"/>
        <v>0.31134626611087574</v>
      </c>
    </row>
    <row r="393" spans="2:6" x14ac:dyDescent="0.3">
      <c r="B393" s="331">
        <v>38.9</v>
      </c>
      <c r="C393" s="332">
        <v>26.765050130412806</v>
      </c>
      <c r="D393" s="385">
        <f t="shared" si="47"/>
        <v>3.7362156810000213E-2</v>
      </c>
      <c r="E393" s="332">
        <v>3.2053310073415409</v>
      </c>
      <c r="F393" s="385">
        <f t="shared" si="46"/>
        <v>0.31198025967040038</v>
      </c>
    </row>
    <row r="394" spans="2:6" x14ac:dyDescent="0.3">
      <c r="B394" s="331">
        <v>39</v>
      </c>
      <c r="C394" s="332">
        <v>26.710913472907137</v>
      </c>
      <c r="D394" s="385">
        <f t="shared" si="47"/>
        <v>3.7437881000000221E-2</v>
      </c>
      <c r="E394" s="332">
        <v>3.198792106837995</v>
      </c>
      <c r="F394" s="385">
        <f t="shared" si="46"/>
        <v>0.31261800285874147</v>
      </c>
    </row>
    <row r="395" spans="2:6" x14ac:dyDescent="0.3">
      <c r="B395" s="337">
        <v>39.1</v>
      </c>
      <c r="C395" s="338">
        <v>26.656239875851654</v>
      </c>
      <c r="D395" s="384">
        <f t="shared" si="47"/>
        <v>3.7514668410000208E-2</v>
      </c>
      <c r="E395" s="338">
        <v>3.1922417872717479</v>
      </c>
      <c r="F395" s="384">
        <f t="shared" si="46"/>
        <v>0.31325947927479852</v>
      </c>
    </row>
    <row r="396" spans="2:6" x14ac:dyDescent="0.3">
      <c r="B396" s="337">
        <v>39.200000000000003</v>
      </c>
      <c r="C396" s="338">
        <v>26.601037268504218</v>
      </c>
      <c r="D396" s="384">
        <f t="shared" si="47"/>
        <v>3.7592519040000209E-2</v>
      </c>
      <c r="E396" s="338">
        <v>3.1856805174124969</v>
      </c>
      <c r="F396" s="384">
        <f t="shared" si="46"/>
        <v>0.313904672654441</v>
      </c>
    </row>
    <row r="397" spans="2:6" x14ac:dyDescent="0.3">
      <c r="B397" s="337">
        <v>39.299999999999997</v>
      </c>
      <c r="C397" s="338">
        <v>26.545313604607998</v>
      </c>
      <c r="D397" s="384">
        <f t="shared" si="47"/>
        <v>3.7671432890000217E-2</v>
      </c>
      <c r="E397" s="338">
        <v>3.1791087602457826</v>
      </c>
      <c r="F397" s="384">
        <f t="shared" si="46"/>
        <v>0.31455356686906433</v>
      </c>
    </row>
    <row r="398" spans="2:6" x14ac:dyDescent="0.3">
      <c r="B398" s="337">
        <v>39.4</v>
      </c>
      <c r="C398" s="338">
        <v>26.489076859898937</v>
      </c>
      <c r="D398" s="384">
        <f t="shared" si="47"/>
        <v>3.7751409960000218E-2</v>
      </c>
      <c r="E398" s="338">
        <v>3.1725269730004588</v>
      </c>
      <c r="F398" s="384">
        <f t="shared" si="46"/>
        <v>0.31520614592418639</v>
      </c>
    </row>
    <row r="399" spans="2:6" x14ac:dyDescent="0.3">
      <c r="B399" s="337">
        <v>39.5</v>
      </c>
      <c r="C399" s="338">
        <v>26.432335029634899</v>
      </c>
      <c r="D399" s="384">
        <f t="shared" si="47"/>
        <v>3.7832450250000205E-2</v>
      </c>
      <c r="E399" s="338">
        <v>3.165935607177353</v>
      </c>
      <c r="F399" s="384">
        <f t="shared" si="46"/>
        <v>0.31586239395802745</v>
      </c>
    </row>
    <row r="400" spans="2:6" x14ac:dyDescent="0.3">
      <c r="B400" s="337">
        <v>39.6</v>
      </c>
      <c r="C400" s="338">
        <v>26.375096126147689</v>
      </c>
      <c r="D400" s="384">
        <f t="shared" si="47"/>
        <v>3.7914553760000219E-2</v>
      </c>
      <c r="E400" s="338">
        <v>3.1593351085784023</v>
      </c>
      <c r="F400" s="384">
        <f t="shared" si="46"/>
        <v>0.3165222952401423</v>
      </c>
    </row>
    <row r="401" spans="2:6" x14ac:dyDescent="0.3">
      <c r="B401" s="337">
        <v>39.700000000000003</v>
      </c>
      <c r="C401" s="338">
        <v>26.317368176419087</v>
      </c>
      <c r="D401" s="384">
        <f t="shared" si="47"/>
        <v>3.7997720490000247E-2</v>
      </c>
      <c r="E401" s="338">
        <v>3.1527259173368112</v>
      </c>
      <c r="F401" s="384">
        <f t="shared" si="46"/>
        <v>0.31718583417004603</v>
      </c>
    </row>
    <row r="402" spans="2:6" x14ac:dyDescent="0.3">
      <c r="B402" s="337">
        <v>39.799999999999997</v>
      </c>
      <c r="C402" s="338">
        <v>26.259159219681852</v>
      </c>
      <c r="D402" s="384">
        <f t="shared" si="47"/>
        <v>3.8081950440000255E-2</v>
      </c>
      <c r="E402" s="338">
        <v>3.1461084679478444</v>
      </c>
      <c r="F402" s="384">
        <f t="shared" si="46"/>
        <v>0.31785299527586974</v>
      </c>
    </row>
    <row r="403" spans="2:6" x14ac:dyDescent="0.3">
      <c r="B403" s="337">
        <v>39.9</v>
      </c>
      <c r="C403" s="338">
        <v>26.200477305046689</v>
      </c>
      <c r="D403" s="384">
        <f t="shared" si="47"/>
        <v>3.8167243610000255E-2</v>
      </c>
      <c r="E403" s="338">
        <v>3.1394831893003308</v>
      </c>
      <c r="F403" s="384">
        <f t="shared" si="46"/>
        <v>0.31852376321303422</v>
      </c>
    </row>
    <row r="404" spans="2:6" x14ac:dyDescent="0.3">
      <c r="B404" s="337">
        <v>40</v>
      </c>
      <c r="C404" s="338">
        <v>24.129527302560138</v>
      </c>
      <c r="D404" s="384">
        <f t="shared" si="47"/>
        <v>4.1443000000000008E-2</v>
      </c>
      <c r="E404" s="338">
        <v>3.1328505047090092</v>
      </c>
      <c r="F404" s="384">
        <f t="shared" si="46"/>
        <v>0.3191981227629257</v>
      </c>
    </row>
    <row r="405" spans="2:6" x14ac:dyDescent="0.3">
      <c r="B405" s="331">
        <v>40.1</v>
      </c>
      <c r="C405" s="332">
        <v>24.126490664423926</v>
      </c>
      <c r="D405" s="385">
        <f t="shared" si="47"/>
        <v>4.1448216150000002E-2</v>
      </c>
      <c r="E405" s="332">
        <v>3.1262108319473172</v>
      </c>
      <c r="F405" s="385">
        <f t="shared" si="46"/>
        <v>0.31987605883161113</v>
      </c>
    </row>
    <row r="406" spans="2:6" x14ac:dyDescent="0.3">
      <c r="B406" s="331">
        <v>40.200000000000003</v>
      </c>
      <c r="C406" s="332">
        <v>24.123121750220484</v>
      </c>
      <c r="D406" s="385">
        <f t="shared" si="47"/>
        <v>4.1454004599999997E-2</v>
      </c>
      <c r="E406" s="332">
        <v>3.1195645832809742</v>
      </c>
      <c r="F406" s="385">
        <f t="shared" si="46"/>
        <v>0.32055755644855377</v>
      </c>
    </row>
    <row r="407" spans="2:6" x14ac:dyDescent="0.3">
      <c r="B407" s="331">
        <v>40.299999999999997</v>
      </c>
      <c r="C407" s="332">
        <v>24.119420838629921</v>
      </c>
      <c r="D407" s="385">
        <f t="shared" si="47"/>
        <v>4.146036535E-2</v>
      </c>
      <c r="E407" s="332">
        <v>3.1129121655021295</v>
      </c>
      <c r="F407" s="385">
        <f t="shared" si="46"/>
        <v>0.32124260076534944</v>
      </c>
    </row>
    <row r="408" spans="2:6" x14ac:dyDescent="0.3">
      <c r="B408" s="331">
        <v>40.4</v>
      </c>
      <c r="C408" s="332">
        <v>24.115388235660895</v>
      </c>
      <c r="D408" s="385">
        <f t="shared" si="47"/>
        <v>4.1467298400000005E-2</v>
      </c>
      <c r="E408" s="332">
        <v>3.1062539799640949</v>
      </c>
      <c r="F408" s="385">
        <f t="shared" si="46"/>
        <v>0.32193117705447866</v>
      </c>
    </row>
    <row r="409" spans="2:6" x14ac:dyDescent="0.3">
      <c r="B409" s="331">
        <v>40.5</v>
      </c>
      <c r="C409" s="332">
        <v>24.111024274587436</v>
      </c>
      <c r="D409" s="385">
        <f t="shared" si="47"/>
        <v>4.1474803749999997E-2</v>
      </c>
      <c r="E409" s="332">
        <v>3.0995904226166151</v>
      </c>
      <c r="F409" s="385">
        <f t="shared" si="46"/>
        <v>0.322623270708076</v>
      </c>
    </row>
    <row r="410" spans="2:6" x14ac:dyDescent="0.3">
      <c r="B410" s="331">
        <v>40.6</v>
      </c>
      <c r="C410" s="332">
        <v>24.106329315880167</v>
      </c>
      <c r="D410" s="385">
        <f t="shared" si="47"/>
        <v>4.1482881399999998E-2</v>
      </c>
      <c r="E410" s="332">
        <v>3.0929218840416857</v>
      </c>
      <c r="F410" s="385">
        <f t="shared" si="46"/>
        <v>0.32331886723671366</v>
      </c>
    </row>
    <row r="411" spans="2:6" x14ac:dyDescent="0.3">
      <c r="B411" s="331">
        <v>40.700000000000003</v>
      </c>
      <c r="C411" s="332">
        <v>24.101303747132</v>
      </c>
      <c r="D411" s="385">
        <f t="shared" si="47"/>
        <v>4.1491531350000006E-2</v>
      </c>
      <c r="E411" s="332">
        <v>3.0862487494898372</v>
      </c>
      <c r="F411" s="385">
        <f t="shared" si="46"/>
        <v>0.32401795226820324</v>
      </c>
    </row>
    <row r="412" spans="2:6" x14ac:dyDescent="0.3">
      <c r="B412" s="331">
        <v>40.799999999999997</v>
      </c>
      <c r="C412" s="332">
        <v>24.095947982978313</v>
      </c>
      <c r="D412" s="385">
        <f t="shared" si="47"/>
        <v>4.1500753600000002E-2</v>
      </c>
      <c r="E412" s="332">
        <v>3.0795713989169871</v>
      </c>
      <c r="F412" s="385">
        <f t="shared" si="46"/>
        <v>0.3247205115464043</v>
      </c>
    </row>
    <row r="413" spans="2:6" x14ac:dyDescent="0.3">
      <c r="B413" s="331">
        <v>40.9</v>
      </c>
      <c r="C413" s="332">
        <v>24.090262465011556</v>
      </c>
      <c r="D413" s="385">
        <f t="shared" si="47"/>
        <v>4.1510548150000007E-2</v>
      </c>
      <c r="E413" s="332">
        <v>3.0728902070216169</v>
      </c>
      <c r="F413" s="385">
        <f t="shared" si="46"/>
        <v>0.32542653093006041</v>
      </c>
    </row>
    <row r="414" spans="2:6" x14ac:dyDescent="0.3">
      <c r="B414" s="331">
        <v>41</v>
      </c>
      <c r="C414" s="332">
        <v>24.084247661690501</v>
      </c>
      <c r="D414" s="385">
        <f t="shared" si="47"/>
        <v>4.1520914999999999E-2</v>
      </c>
      <c r="E414" s="332">
        <v>3.0662055432824982</v>
      </c>
      <c r="F414" s="385">
        <f t="shared" si="46"/>
        <v>0.32613599639163759</v>
      </c>
    </row>
    <row r="415" spans="2:6" x14ac:dyDescent="0.3">
      <c r="B415" s="337">
        <v>41.1</v>
      </c>
      <c r="C415" s="338">
        <v>24.077904068243967</v>
      </c>
      <c r="D415" s="384">
        <f t="shared" si="47"/>
        <v>4.1531854149999999E-2</v>
      </c>
      <c r="E415" s="338">
        <v>3.0595177719967253</v>
      </c>
      <c r="F415" s="384">
        <f t="shared" si="46"/>
        <v>0.32684889401618755</v>
      </c>
    </row>
    <row r="416" spans="2:6" x14ac:dyDescent="0.3">
      <c r="B416" s="337">
        <v>41.2</v>
      </c>
      <c r="C416" s="338">
        <v>24.071232206569224</v>
      </c>
      <c r="D416" s="384">
        <f t="shared" si="47"/>
        <v>4.15433656E-2</v>
      </c>
      <c r="E416" s="338">
        <v>3.0528272523182207</v>
      </c>
      <c r="F416" s="384">
        <f t="shared" si="46"/>
        <v>0.32756521000021588</v>
      </c>
    </row>
    <row r="417" spans="2:6" x14ac:dyDescent="0.3">
      <c r="B417" s="337">
        <v>41.3</v>
      </c>
      <c r="C417" s="338">
        <v>24.064232625125015</v>
      </c>
      <c r="D417" s="384">
        <f t="shared" si="47"/>
        <v>4.1555449349999996E-2</v>
      </c>
      <c r="E417" s="338">
        <v>3.0461343382965342</v>
      </c>
      <c r="F417" s="384">
        <f t="shared" si="46"/>
        <v>0.32828493065057074</v>
      </c>
    </row>
    <row r="418" spans="2:6" x14ac:dyDescent="0.3">
      <c r="B418" s="337">
        <v>41.4</v>
      </c>
      <c r="C418" s="338">
        <v>24.056905898819238</v>
      </c>
      <c r="D418" s="384">
        <f t="shared" si="47"/>
        <v>4.1568105400000006E-2</v>
      </c>
      <c r="E418" s="338">
        <v>3.0394393789160068</v>
      </c>
      <c r="F418" s="384">
        <f t="shared" si="46"/>
        <v>0.32900804238334325</v>
      </c>
    </row>
    <row r="419" spans="2:6" x14ac:dyDescent="0.3">
      <c r="B419" s="337">
        <v>41.5</v>
      </c>
      <c r="C419" s="338">
        <v>24.049252628891448</v>
      </c>
      <c r="D419" s="384">
        <f t="shared" si="47"/>
        <v>4.1581333749999991E-2</v>
      </c>
      <c r="E419" s="338">
        <v>3.0327427181352289</v>
      </c>
      <c r="F419" s="384">
        <f t="shared" si="46"/>
        <v>0.32973453172278305</v>
      </c>
    </row>
    <row r="420" spans="2:6" x14ac:dyDescent="0.3">
      <c r="B420" s="337">
        <v>41.6</v>
      </c>
      <c r="C420" s="338">
        <v>24.041273442789983</v>
      </c>
      <c r="D420" s="384">
        <f t="shared" si="47"/>
        <v>4.1595134399999997E-2</v>
      </c>
      <c r="E420" s="338">
        <v>3.0260446949268545</v>
      </c>
      <c r="F420" s="384">
        <f t="shared" si="46"/>
        <v>0.33046438530022176</v>
      </c>
    </row>
    <row r="421" spans="2:6" x14ac:dyDescent="0.3">
      <c r="B421" s="337">
        <v>41.7</v>
      </c>
      <c r="C421" s="338">
        <v>24.032968994044101</v>
      </c>
      <c r="D421" s="384">
        <f t="shared" si="47"/>
        <v>4.1609507349999998E-2</v>
      </c>
      <c r="E421" s="338">
        <v>3.0193456433176107</v>
      </c>
      <c r="F421" s="384">
        <f t="shared" si="46"/>
        <v>0.33119758985301706</v>
      </c>
    </row>
    <row r="422" spans="2:6" x14ac:dyDescent="0.3">
      <c r="B422" s="337">
        <v>41.8</v>
      </c>
      <c r="C422" s="338">
        <v>24.024339962130817</v>
      </c>
      <c r="D422" s="384">
        <f t="shared" si="47"/>
        <v>4.16244526E-2</v>
      </c>
      <c r="E422" s="338">
        <v>3.0126458924286061</v>
      </c>
      <c r="F422" s="384">
        <f t="shared" si="46"/>
        <v>0.33193413222350626</v>
      </c>
    </row>
    <row r="423" spans="2:6" x14ac:dyDescent="0.3">
      <c r="B423" s="337">
        <v>41.9</v>
      </c>
      <c r="C423" s="338">
        <v>24.015387052336777</v>
      </c>
      <c r="D423" s="384">
        <f t="shared" si="47"/>
        <v>4.1639970150000004E-2</v>
      </c>
      <c r="E423" s="338">
        <v>3.0059457665158793</v>
      </c>
      <c r="F423" s="384">
        <f t="shared" si="46"/>
        <v>0.33267399935797126</v>
      </c>
    </row>
    <row r="424" spans="2:6" x14ac:dyDescent="0.3">
      <c r="B424" s="337">
        <v>42</v>
      </c>
      <c r="C424" s="338">
        <v>24.006110995615042</v>
      </c>
      <c r="D424" s="384">
        <f t="shared" si="47"/>
        <v>4.1656060000000002E-2</v>
      </c>
      <c r="E424" s="338">
        <v>2.9992455850111726</v>
      </c>
      <c r="F424" s="384">
        <f t="shared" si="46"/>
        <v>0.33341717830561546</v>
      </c>
    </row>
    <row r="425" spans="2:6" x14ac:dyDescent="0.3">
      <c r="B425" s="331">
        <v>42.1</v>
      </c>
      <c r="C425" s="332">
        <v>23.996512548436918</v>
      </c>
      <c r="D425" s="385">
        <f t="shared" si="47"/>
        <v>4.1672722149999994E-2</v>
      </c>
      <c r="E425" s="332">
        <v>2.9925456625628053</v>
      </c>
      <c r="F425" s="385">
        <f t="shared" si="46"/>
        <v>0.33416365621756416</v>
      </c>
    </row>
    <row r="426" spans="2:6" x14ac:dyDescent="0.3">
      <c r="B426" s="331">
        <v>42.2</v>
      </c>
      <c r="C426" s="332">
        <v>23.986592492638863</v>
      </c>
      <c r="D426" s="385">
        <f t="shared" si="47"/>
        <v>4.1689956600000001E-2</v>
      </c>
      <c r="E426" s="332">
        <v>2.9858463090769076</v>
      </c>
      <c r="F426" s="385">
        <f t="shared" si="46"/>
        <v>0.33491342034585697</v>
      </c>
    </row>
    <row r="427" spans="2:6" x14ac:dyDescent="0.3">
      <c r="B427" s="331">
        <v>42.3</v>
      </c>
      <c r="C427" s="332">
        <v>23.976351635264564</v>
      </c>
      <c r="D427" s="385">
        <f t="shared" si="47"/>
        <v>4.1707763350000003E-2</v>
      </c>
      <c r="E427" s="332">
        <v>2.9791478297586429</v>
      </c>
      <c r="F427" s="385">
        <f t="shared" si="46"/>
        <v>0.33566645804247164</v>
      </c>
    </row>
    <row r="428" spans="2:6" x14ac:dyDescent="0.3">
      <c r="B428" s="331">
        <v>42.4</v>
      </c>
      <c r="C428" s="332">
        <v>23.965790808402165</v>
      </c>
      <c r="D428" s="385">
        <f t="shared" si="47"/>
        <v>4.1726142400000006E-2</v>
      </c>
      <c r="E428" s="332">
        <v>2.9724505251536688</v>
      </c>
      <c r="F428" s="385">
        <f t="shared" si="46"/>
        <v>0.33642275675834921</v>
      </c>
    </row>
    <row r="429" spans="2:6" x14ac:dyDescent="0.3">
      <c r="B429" s="331">
        <v>42.5</v>
      </c>
      <c r="C429" s="332">
        <v>23.954910869016789</v>
      </c>
      <c r="D429" s="385">
        <f t="shared" si="47"/>
        <v>4.1745093750000004E-2</v>
      </c>
      <c r="E429" s="332">
        <v>2.9657546911897024</v>
      </c>
      <c r="F429" s="385">
        <f t="shared" si="46"/>
        <v>0.3371823040424336</v>
      </c>
    </row>
    <row r="430" spans="2:6" x14ac:dyDescent="0.3">
      <c r="B430" s="331">
        <v>42.6</v>
      </c>
      <c r="C430" s="332">
        <v>23.94371269877837</v>
      </c>
      <c r="D430" s="385">
        <f t="shared" si="47"/>
        <v>4.1764617399999995E-2</v>
      </c>
      <c r="E430" s="332">
        <v>2.9590606192182114</v>
      </c>
      <c r="F430" s="385">
        <f t="shared" si="46"/>
        <v>0.3379450875407215</v>
      </c>
    </row>
    <row r="431" spans="2:6" x14ac:dyDescent="0.3">
      <c r="B431" s="331">
        <v>42.7</v>
      </c>
      <c r="C431" s="332">
        <v>23.932197203884847</v>
      </c>
      <c r="D431" s="385">
        <f t="shared" si="47"/>
        <v>4.1784713350000009E-2</v>
      </c>
      <c r="E431" s="332">
        <v>2.9523685960561306</v>
      </c>
      <c r="F431" s="385">
        <f t="shared" si="46"/>
        <v>0.33871109499533097</v>
      </c>
    </row>
    <row r="432" spans="2:6" x14ac:dyDescent="0.3">
      <c r="B432" s="331">
        <v>42.8</v>
      </c>
      <c r="C432" s="332">
        <v>23.920365314880893</v>
      </c>
      <c r="D432" s="385">
        <f t="shared" si="47"/>
        <v>4.1805381600000004E-2</v>
      </c>
      <c r="E432" s="332">
        <v>2.9456789040277873</v>
      </c>
      <c r="F432" s="385">
        <f t="shared" si="46"/>
        <v>0.33948031424356723</v>
      </c>
    </row>
    <row r="433" spans="2:6" x14ac:dyDescent="0.3">
      <c r="B433" s="331">
        <v>42.9</v>
      </c>
      <c r="C433" s="332">
        <v>23.908217986472042</v>
      </c>
      <c r="D433" s="385">
        <f t="shared" si="47"/>
        <v>4.1826622150000006E-2</v>
      </c>
      <c r="E433" s="332">
        <v>2.9389918210067738</v>
      </c>
      <c r="F433" s="385">
        <f t="shared" si="46"/>
        <v>0.34025273321701266</v>
      </c>
    </row>
    <row r="434" spans="2:6" x14ac:dyDescent="0.3">
      <c r="B434" s="331">
        <v>43</v>
      </c>
      <c r="C434" s="332">
        <v>23.895756197334496</v>
      </c>
      <c r="D434" s="385">
        <f t="shared" si="47"/>
        <v>4.184843500000001E-2</v>
      </c>
      <c r="E434" s="332">
        <v>2.9323076204579412</v>
      </c>
      <c r="F434" s="385">
        <f t="shared" si="46"/>
        <v>0.34102833994061954</v>
      </c>
    </row>
    <row r="435" spans="2:6" x14ac:dyDescent="0.3">
      <c r="B435" s="337">
        <v>43.1</v>
      </c>
      <c r="C435" s="338">
        <v>23.882980949920555</v>
      </c>
      <c r="D435" s="384">
        <f t="shared" si="47"/>
        <v>4.1870820150000015E-2</v>
      </c>
      <c r="E435" s="338">
        <v>2.9256265714793632</v>
      </c>
      <c r="F435" s="384">
        <f t="shared" si="46"/>
        <v>0.34180712253182166</v>
      </c>
    </row>
    <row r="436" spans="2:6" x14ac:dyDescent="0.3">
      <c r="B436" s="337">
        <v>43.2</v>
      </c>
      <c r="C436" s="338">
        <v>23.869893270259784</v>
      </c>
      <c r="D436" s="384">
        <f t="shared" si="47"/>
        <v>4.1893777599999994E-2</v>
      </c>
      <c r="E436" s="338">
        <v>2.9189489388444123</v>
      </c>
      <c r="F436" s="384">
        <f t="shared" si="46"/>
        <v>0.34258906919964544</v>
      </c>
    </row>
    <row r="437" spans="2:6" x14ac:dyDescent="0.3">
      <c r="B437" s="337">
        <v>43.3</v>
      </c>
      <c r="C437" s="338">
        <v>23.856494207755926</v>
      </c>
      <c r="D437" s="384">
        <f t="shared" si="47"/>
        <v>4.1917307350000002E-2</v>
      </c>
      <c r="E437" s="338">
        <v>2.9122749830437362</v>
      </c>
      <c r="F437" s="384">
        <f t="shared" si="46"/>
        <v>0.34337416824384476</v>
      </c>
    </row>
    <row r="438" spans="2:6" x14ac:dyDescent="0.3">
      <c r="B438" s="337">
        <v>43.4</v>
      </c>
      <c r="C438" s="338">
        <v>23.842784834979813</v>
      </c>
      <c r="D438" s="384">
        <f t="shared" si="47"/>
        <v>4.1941409400000011E-2</v>
      </c>
      <c r="E438" s="338">
        <v>2.905604960327369</v>
      </c>
      <c r="F438" s="384">
        <f t="shared" si="46"/>
        <v>0.34416240805402942</v>
      </c>
    </row>
    <row r="439" spans="2:6" x14ac:dyDescent="0.3">
      <c r="B439" s="337">
        <v>43.5</v>
      </c>
      <c r="C439" s="338">
        <v>23.828766247458098</v>
      </c>
      <c r="D439" s="384">
        <f t="shared" si="47"/>
        <v>4.1966083750000008E-2</v>
      </c>
      <c r="E439" s="338">
        <v>2.8989391227466688</v>
      </c>
      <c r="F439" s="384">
        <f t="shared" si="46"/>
        <v>0.34495377710882258</v>
      </c>
    </row>
    <row r="440" spans="2:6" x14ac:dyDescent="0.3">
      <c r="B440" s="337">
        <v>43.6</v>
      </c>
      <c r="C440" s="338">
        <v>23.81443956345807</v>
      </c>
      <c r="D440" s="384">
        <f t="shared" si="47"/>
        <v>4.199133040000002E-2</v>
      </c>
      <c r="E440" s="338">
        <v>2.8922777181963313</v>
      </c>
      <c r="F440" s="384">
        <f t="shared" si="46"/>
        <v>0.34574826397501529</v>
      </c>
    </row>
    <row r="441" spans="2:6" x14ac:dyDescent="0.3">
      <c r="B441" s="337">
        <v>43.7</v>
      </c>
      <c r="C441" s="338">
        <v>23.799805923768599</v>
      </c>
      <c r="D441" s="384">
        <f t="shared" si="47"/>
        <v>4.2017149350000005E-2</v>
      </c>
      <c r="E441" s="338">
        <v>2.8856209904563404</v>
      </c>
      <c r="F441" s="384">
        <f t="shared" si="46"/>
        <v>0.34654585730673421</v>
      </c>
    </row>
    <row r="442" spans="2:6" x14ac:dyDescent="0.3">
      <c r="B442" s="337">
        <v>43.8</v>
      </c>
      <c r="C442" s="338">
        <v>23.784866491477164</v>
      </c>
      <c r="D442" s="384">
        <f t="shared" si="47"/>
        <v>4.2043540600000012E-2</v>
      </c>
      <c r="E442" s="338">
        <v>2.8789691792338643</v>
      </c>
      <c r="F442" s="384">
        <f t="shared" si="46"/>
        <v>0.34734654584461877</v>
      </c>
    </row>
    <row r="443" spans="2:6" x14ac:dyDescent="0.3">
      <c r="B443" s="337">
        <v>43.9</v>
      </c>
      <c r="C443" s="338">
        <v>23.769622451743302</v>
      </c>
      <c r="D443" s="384">
        <f t="shared" si="47"/>
        <v>4.2070504150000007E-2</v>
      </c>
      <c r="E443" s="338">
        <v>2.87232252020504</v>
      </c>
      <c r="F443" s="384">
        <f t="shared" si="46"/>
        <v>0.34815031841501393</v>
      </c>
    </row>
    <row r="444" spans="2:6" x14ac:dyDescent="0.3">
      <c r="B444" s="337">
        <v>44</v>
      </c>
      <c r="C444" s="338">
        <v>23.754075011568222</v>
      </c>
      <c r="D444" s="384">
        <f t="shared" si="47"/>
        <v>4.2098040000000024E-2</v>
      </c>
      <c r="E444" s="338">
        <v>2.8656812450567859</v>
      </c>
      <c r="F444" s="384">
        <f t="shared" si="46"/>
        <v>0.34895716392915993</v>
      </c>
    </row>
    <row r="445" spans="2:6" x14ac:dyDescent="0.3">
      <c r="B445" s="331">
        <v>44.1</v>
      </c>
      <c r="C445" s="332">
        <v>23.738225399560996</v>
      </c>
      <c r="D445" s="385">
        <f t="shared" si="47"/>
        <v>4.2126148150000021E-2</v>
      </c>
      <c r="E445" s="332">
        <v>2.8590455815284197</v>
      </c>
      <c r="F445" s="385">
        <f t="shared" si="46"/>
        <v>0.34976707138240487</v>
      </c>
    </row>
    <row r="446" spans="2:6" x14ac:dyDescent="0.3">
      <c r="B446" s="331">
        <v>44.2</v>
      </c>
      <c r="C446" s="332">
        <v>23.722074865701138</v>
      </c>
      <c r="D446" s="385">
        <f t="shared" si="47"/>
        <v>4.215482860000002E-2</v>
      </c>
      <c r="E446" s="332">
        <v>2.8524157534532737</v>
      </c>
      <c r="F446" s="385">
        <f t="shared" si="46"/>
        <v>0.35058002985341502</v>
      </c>
    </row>
    <row r="447" spans="2:6" x14ac:dyDescent="0.3">
      <c r="B447" s="331">
        <v>44.3</v>
      </c>
      <c r="C447" s="332">
        <v>23.705624681097852</v>
      </c>
      <c r="D447" s="385">
        <f t="shared" si="47"/>
        <v>4.2184081350000013E-2</v>
      </c>
      <c r="E447" s="332">
        <v>2.8457919808001155</v>
      </c>
      <c r="F447" s="385">
        <f t="shared" si="46"/>
        <v>0.35139602850340546</v>
      </c>
    </row>
    <row r="448" spans="2:6" x14ac:dyDescent="0.3">
      <c r="B448" s="331">
        <v>44.4</v>
      </c>
      <c r="C448" s="332">
        <v>23.688876137745918</v>
      </c>
      <c r="D448" s="385">
        <f t="shared" si="47"/>
        <v>4.2213906400000015E-2</v>
      </c>
      <c r="E448" s="332">
        <v>2.8391744797145488</v>
      </c>
      <c r="F448" s="385">
        <f t="shared" si="46"/>
        <v>0.35221505657536772</v>
      </c>
    </row>
    <row r="449" spans="2:6" x14ac:dyDescent="0.3">
      <c r="B449" s="331">
        <v>44.5</v>
      </c>
      <c r="C449" s="332">
        <v>23.671830548278351</v>
      </c>
      <c r="D449" s="385">
        <f t="shared" si="47"/>
        <v>4.224430375000001E-2</v>
      </c>
      <c r="E449" s="332">
        <v>2.8325634625601941</v>
      </c>
      <c r="F449" s="385">
        <f t="shared" si="46"/>
        <v>0.35303710339331867</v>
      </c>
    </row>
    <row r="450" spans="2:6" x14ac:dyDescent="0.3">
      <c r="B450" s="331">
        <v>44.6</v>
      </c>
      <c r="C450" s="332">
        <v>23.654489245715904</v>
      </c>
      <c r="D450" s="385">
        <f t="shared" si="47"/>
        <v>4.2275273400000014E-2</v>
      </c>
      <c r="E450" s="332">
        <v>2.8259591379598463</v>
      </c>
      <c r="F450" s="385">
        <f t="shared" si="46"/>
        <v>0.35386215836154417</v>
      </c>
    </row>
    <row r="451" spans="2:6" x14ac:dyDescent="0.3">
      <c r="B451" s="331">
        <v>44.7</v>
      </c>
      <c r="C451" s="332">
        <v>23.636853583213497</v>
      </c>
      <c r="D451" s="385">
        <f t="shared" si="47"/>
        <v>4.2306815350000027E-2</v>
      </c>
      <c r="E451" s="332">
        <v>2.819361710836362</v>
      </c>
      <c r="F451" s="385">
        <f t="shared" si="46"/>
        <v>0.3546902109638676</v>
      </c>
    </row>
    <row r="452" spans="2:6" x14ac:dyDescent="0.3">
      <c r="B452" s="331">
        <v>44.8</v>
      </c>
      <c r="C452" s="332">
        <v>23.618924933803704</v>
      </c>
      <c r="D452" s="385">
        <f t="shared" si="47"/>
        <v>4.2338929600000012E-2</v>
      </c>
      <c r="E452" s="332">
        <v>2.8127713824535241</v>
      </c>
      <c r="F452" s="385">
        <f t="shared" si="46"/>
        <v>0.3555212507629113</v>
      </c>
    </row>
    <row r="453" spans="2:6" x14ac:dyDescent="0.3">
      <c r="B453" s="331">
        <v>44.9</v>
      </c>
      <c r="C453" s="332">
        <v>23.600704690137231</v>
      </c>
      <c r="D453" s="385">
        <f t="shared" si="47"/>
        <v>4.237161615000002E-2</v>
      </c>
      <c r="E453" s="332">
        <v>2.8061883504566549</v>
      </c>
      <c r="F453" s="385">
        <f t="shared" ref="F453:F516" si="48">1/E453</f>
        <v>0.35635526739937773</v>
      </c>
    </row>
    <row r="454" spans="2:6" x14ac:dyDescent="0.3">
      <c r="B454" s="331">
        <v>45</v>
      </c>
      <c r="C454" s="332">
        <v>23.582194264220789</v>
      </c>
      <c r="D454" s="385">
        <f t="shared" ref="D454:D517" si="49">1/C454</f>
        <v>4.2404875000000022E-2</v>
      </c>
      <c r="E454" s="332">
        <v>2.7996128089131336</v>
      </c>
      <c r="F454" s="385">
        <f t="shared" si="48"/>
        <v>0.35719225059133097</v>
      </c>
    </row>
    <row r="455" spans="2:6" x14ac:dyDescent="0.3">
      <c r="B455" s="337">
        <v>45.1</v>
      </c>
      <c r="C455" s="338">
        <v>23.563395087152049</v>
      </c>
      <c r="D455" s="384">
        <f t="shared" si="49"/>
        <v>4.2438706150000026E-2</v>
      </c>
      <c r="E455" s="338">
        <v>2.7930449483526849</v>
      </c>
      <c r="F455" s="384">
        <f t="shared" si="48"/>
        <v>0.3580321901334928</v>
      </c>
    </row>
    <row r="456" spans="2:6" x14ac:dyDescent="0.3">
      <c r="B456" s="337">
        <v>45.2</v>
      </c>
      <c r="C456" s="338">
        <v>23.544308608852113</v>
      </c>
      <c r="D456" s="384">
        <f t="shared" si="49"/>
        <v>4.2473109600000031E-2</v>
      </c>
      <c r="E456" s="338">
        <v>2.7864849558075044</v>
      </c>
      <c r="F456" s="384">
        <f t="shared" si="48"/>
        <v>0.35887507589654538</v>
      </c>
    </row>
    <row r="457" spans="2:6" x14ac:dyDescent="0.3">
      <c r="B457" s="337">
        <v>45.3</v>
      </c>
      <c r="C457" s="338">
        <v>23.524936297795382</v>
      </c>
      <c r="D457" s="384">
        <f t="shared" si="49"/>
        <v>4.2508085350000037E-2</v>
      </c>
      <c r="E457" s="338">
        <v>2.7799330148522805</v>
      </c>
      <c r="F457" s="384">
        <f t="shared" si="48"/>
        <v>0.35972089782643119</v>
      </c>
    </row>
    <row r="458" spans="2:6" x14ac:dyDescent="0.3">
      <c r="B458" s="337">
        <v>45.4</v>
      </c>
      <c r="C458" s="338">
        <v>23.505279640737019</v>
      </c>
      <c r="D458" s="384">
        <f t="shared" si="49"/>
        <v>4.2543633400000024E-2</v>
      </c>
      <c r="E458" s="338">
        <v>2.7733893056438448</v>
      </c>
      <c r="F458" s="384">
        <f t="shared" si="48"/>
        <v>0.36056964594368374</v>
      </c>
    </row>
    <row r="459" spans="2:6" x14ac:dyDescent="0.3">
      <c r="B459" s="337">
        <v>45.5</v>
      </c>
      <c r="C459" s="338">
        <v>23.485340142437984</v>
      </c>
      <c r="D459" s="384">
        <f t="shared" si="49"/>
        <v>4.2579753750000032E-2</v>
      </c>
      <c r="E459" s="338">
        <v>2.7668540049608112</v>
      </c>
      <c r="F459" s="384">
        <f t="shared" si="48"/>
        <v>0.361421310342742</v>
      </c>
    </row>
    <row r="460" spans="2:6" x14ac:dyDescent="0.3">
      <c r="B460" s="337">
        <v>45.6</v>
      </c>
      <c r="C460" s="338">
        <v>23.465119325387938</v>
      </c>
      <c r="D460" s="384">
        <f t="shared" si="49"/>
        <v>4.2616446400000035E-2</v>
      </c>
      <c r="E460" s="338">
        <v>2.7603272862428958</v>
      </c>
      <c r="F460" s="384">
        <f t="shared" si="48"/>
        <v>0.36227588119128734</v>
      </c>
    </row>
    <row r="461" spans="2:6" x14ac:dyDescent="0.3">
      <c r="B461" s="337">
        <v>45.7</v>
      </c>
      <c r="C461" s="338">
        <v>23.444618729525846</v>
      </c>
      <c r="D461" s="384">
        <f t="shared" si="49"/>
        <v>4.2653711350000033E-2</v>
      </c>
      <c r="E461" s="338">
        <v>2.7538093196300797</v>
      </c>
      <c r="F461" s="384">
        <f t="shared" si="48"/>
        <v>0.36313334872958103</v>
      </c>
    </row>
    <row r="462" spans="2:6" x14ac:dyDescent="0.3">
      <c r="B462" s="337">
        <v>45.8</v>
      </c>
      <c r="C462" s="338">
        <v>23.42383991195857</v>
      </c>
      <c r="D462" s="384">
        <f t="shared" si="49"/>
        <v>4.2691548600000045E-2</v>
      </c>
      <c r="E462" s="338">
        <v>2.7473002720015378</v>
      </c>
      <c r="F462" s="384">
        <f t="shared" si="48"/>
        <v>0.36399370326981145</v>
      </c>
    </row>
    <row r="463" spans="2:6" x14ac:dyDescent="0.3">
      <c r="B463" s="337">
        <v>45.9</v>
      </c>
      <c r="C463" s="338">
        <v>23.402784446677476</v>
      </c>
      <c r="D463" s="384">
        <f t="shared" si="49"/>
        <v>4.2729958150000025E-2</v>
      </c>
      <c r="E463" s="338">
        <v>2.7408003070143119</v>
      </c>
      <c r="F463" s="384">
        <f t="shared" si="48"/>
        <v>0.36485693519545354</v>
      </c>
    </row>
    <row r="464" spans="2:6" x14ac:dyDescent="0.3">
      <c r="B464" s="337">
        <v>46</v>
      </c>
      <c r="C464" s="338">
        <v>23.381453924273071</v>
      </c>
      <c r="D464" s="384">
        <f t="shared" si="49"/>
        <v>4.2768940000000019E-2</v>
      </c>
      <c r="E464" s="338">
        <v>2.7343095851418568</v>
      </c>
      <c r="F464" s="384">
        <f t="shared" si="48"/>
        <v>0.36572303496062231</v>
      </c>
    </row>
    <row r="465" spans="2:6" x14ac:dyDescent="0.3">
      <c r="B465" s="331">
        <v>46.1</v>
      </c>
      <c r="C465" s="332">
        <v>23.359849951647959</v>
      </c>
      <c r="D465" s="385">
        <f t="shared" si="49"/>
        <v>4.2808494150000022E-2</v>
      </c>
      <c r="E465" s="332">
        <v>2.7278282637122362</v>
      </c>
      <c r="F465" s="385">
        <f t="shared" si="48"/>
        <v>0.36659199308944906</v>
      </c>
    </row>
    <row r="466" spans="2:6" x14ac:dyDescent="0.3">
      <c r="B466" s="331">
        <v>46.2</v>
      </c>
      <c r="C466" s="332">
        <v>23.33797415172798</v>
      </c>
      <c r="D466" s="385">
        <f t="shared" si="49"/>
        <v>4.284862060000004E-2</v>
      </c>
      <c r="E466" s="332">
        <v>2.7213564969461825</v>
      </c>
      <c r="F466" s="385">
        <f t="shared" si="48"/>
        <v>0.36746380017545199</v>
      </c>
    </row>
    <row r="467" spans="2:6" x14ac:dyDescent="0.3">
      <c r="B467" s="331">
        <v>46.3</v>
      </c>
      <c r="C467" s="332">
        <v>23.315828163171798</v>
      </c>
      <c r="D467" s="385">
        <f t="shared" si="49"/>
        <v>4.2889319350000038E-2</v>
      </c>
      <c r="E467" s="332">
        <v>2.7148944359948195</v>
      </c>
      <c r="F467" s="385">
        <f t="shared" si="48"/>
        <v>0.36833844688092621</v>
      </c>
    </row>
    <row r="468" spans="2:6" x14ac:dyDescent="0.3">
      <c r="B468" s="331">
        <v>46.4</v>
      </c>
      <c r="C468" s="332">
        <v>23.293413640078874</v>
      </c>
      <c r="D468" s="385">
        <f t="shared" si="49"/>
        <v>4.2930590400000038E-2</v>
      </c>
      <c r="E468" s="332">
        <v>2.708442228977276</v>
      </c>
      <c r="F468" s="385">
        <f t="shared" si="48"/>
        <v>0.36921592393632335</v>
      </c>
    </row>
    <row r="469" spans="2:6" x14ac:dyDescent="0.3">
      <c r="B469" s="331">
        <v>46.5</v>
      </c>
      <c r="C469" s="332">
        <v>23.270732251696103</v>
      </c>
      <c r="D469" s="385">
        <f t="shared" si="49"/>
        <v>4.2972433750000039E-2</v>
      </c>
      <c r="E469" s="332">
        <v>2.7020000210179118</v>
      </c>
      <c r="F469" s="385">
        <f t="shared" si="48"/>
        <v>0.37009622213965587</v>
      </c>
    </row>
    <row r="470" spans="2:6" x14ac:dyDescent="0.3">
      <c r="B470" s="331">
        <v>46.6</v>
      </c>
      <c r="C470" s="332">
        <v>23.247785682123052</v>
      </c>
      <c r="D470" s="385">
        <f t="shared" si="49"/>
        <v>4.3014849400000027E-2</v>
      </c>
      <c r="E470" s="332">
        <v>2.6955679542833741</v>
      </c>
      <c r="F470" s="385">
        <f t="shared" si="48"/>
        <v>0.37097933235589803</v>
      </c>
    </row>
    <row r="471" spans="2:6" x14ac:dyDescent="0.3">
      <c r="B471" s="331">
        <v>46.7</v>
      </c>
      <c r="C471" s="332">
        <v>23.224575630015913</v>
      </c>
      <c r="D471" s="385">
        <f t="shared" si="49"/>
        <v>4.3057837350000044E-2</v>
      </c>
      <c r="E471" s="332">
        <v>2.6891461680193904</v>
      </c>
      <c r="F471" s="385">
        <f t="shared" si="48"/>
        <v>0.37186524551639372</v>
      </c>
    </row>
    <row r="472" spans="2:6" x14ac:dyDescent="0.3">
      <c r="B472" s="331">
        <v>46.8</v>
      </c>
      <c r="C472" s="332">
        <v>23.201103808290409</v>
      </c>
      <c r="D472" s="385">
        <f t="shared" si="49"/>
        <v>4.3101397600000042E-2</v>
      </c>
      <c r="E472" s="332">
        <v>2.6827347985872745</v>
      </c>
      <c r="F472" s="385">
        <f t="shared" si="48"/>
        <v>0.3727539526182756</v>
      </c>
    </row>
    <row r="473" spans="2:6" x14ac:dyDescent="0.3">
      <c r="B473" s="331">
        <v>46.9</v>
      </c>
      <c r="C473" s="332">
        <v>23.177371943823452</v>
      </c>
      <c r="D473" s="385">
        <f t="shared" si="49"/>
        <v>4.3145530150000048E-2</v>
      </c>
      <c r="E473" s="332">
        <v>2.676333979500201</v>
      </c>
      <c r="F473" s="385">
        <f t="shared" si="48"/>
        <v>0.37364544472388594</v>
      </c>
    </row>
    <row r="474" spans="2:6" x14ac:dyDescent="0.3">
      <c r="B474" s="331">
        <v>47</v>
      </c>
      <c r="C474" s="332">
        <v>23.153381777154003</v>
      </c>
      <c r="D474" s="385">
        <f t="shared" si="49"/>
        <v>4.3190235000000042E-2</v>
      </c>
      <c r="E474" s="332">
        <v>2.669943841459224</v>
      </c>
      <c r="F474" s="385">
        <f t="shared" si="48"/>
        <v>0.37453971296020316</v>
      </c>
    </row>
    <row r="475" spans="2:6" x14ac:dyDescent="0.3">
      <c r="B475" s="337">
        <v>47.1</v>
      </c>
      <c r="C475" s="338">
        <v>23.129135062182883</v>
      </c>
      <c r="D475" s="384">
        <f t="shared" si="49"/>
        <v>4.3235512150000044E-2</v>
      </c>
      <c r="E475" s="338">
        <v>2.6635645123889469</v>
      </c>
      <c r="F475" s="384">
        <f t="shared" si="48"/>
        <v>0.37543674851828596</v>
      </c>
    </row>
    <row r="476" spans="2:6" x14ac:dyDescent="0.3">
      <c r="B476" s="337">
        <v>47.2</v>
      </c>
      <c r="C476" s="338">
        <v>23.104633565871897</v>
      </c>
      <c r="D476" s="384">
        <f t="shared" si="49"/>
        <v>4.3281361600000047E-2</v>
      </c>
      <c r="E476" s="338">
        <v>2.6571961174730867</v>
      </c>
      <c r="F476" s="384">
        <f t="shared" si="48"/>
        <v>0.37633654265270033</v>
      </c>
    </row>
    <row r="477" spans="2:6" x14ac:dyDescent="0.3">
      <c r="B477" s="337">
        <v>47.3</v>
      </c>
      <c r="C477" s="338">
        <v>23.079879067942183</v>
      </c>
      <c r="D477" s="384">
        <f t="shared" si="49"/>
        <v>4.3327783350000051E-2</v>
      </c>
      <c r="E477" s="338">
        <v>2.6508387791895758</v>
      </c>
      <c r="F477" s="384">
        <f t="shared" si="48"/>
        <v>0.37723908668098016</v>
      </c>
    </row>
    <row r="478" spans="2:6" x14ac:dyDescent="0.3">
      <c r="B478" s="337">
        <v>47.4</v>
      </c>
      <c r="C478" s="338">
        <v>23.054873360571968</v>
      </c>
      <c r="D478" s="384">
        <f t="shared" si="49"/>
        <v>4.3374777400000043E-2</v>
      </c>
      <c r="E478" s="338">
        <v>2.6444926173455379</v>
      </c>
      <c r="F478" s="384">
        <f t="shared" si="48"/>
        <v>0.37814437198307249</v>
      </c>
    </row>
    <row r="479" spans="2:6" x14ac:dyDescent="0.3">
      <c r="B479" s="337">
        <v>47.5</v>
      </c>
      <c r="C479" s="338">
        <v>23.02961824809374</v>
      </c>
      <c r="D479" s="384">
        <f t="shared" si="49"/>
        <v>4.3422343750000036E-2</v>
      </c>
      <c r="E479" s="338">
        <v>2.6381577491118802</v>
      </c>
      <c r="F479" s="384">
        <f t="shared" si="48"/>
        <v>0.37905239000080415</v>
      </c>
    </row>
    <row r="480" spans="2:6" x14ac:dyDescent="0.3">
      <c r="B480" s="337">
        <v>47.6</v>
      </c>
      <c r="C480" s="338">
        <v>23.004115546691029</v>
      </c>
      <c r="D480" s="384">
        <f t="shared" si="49"/>
        <v>4.3470482400000052E-2</v>
      </c>
      <c r="E480" s="338">
        <v>2.6318342890577435</v>
      </c>
      <c r="F480" s="384">
        <f t="shared" si="48"/>
        <v>0.37996313223733502</v>
      </c>
    </row>
    <row r="481" spans="2:6" x14ac:dyDescent="0.3">
      <c r="B481" s="337">
        <v>47.7</v>
      </c>
      <c r="C481" s="338">
        <v>22.978367084094835</v>
      </c>
      <c r="D481" s="384">
        <f t="shared" si="49"/>
        <v>4.3519193350000054E-2</v>
      </c>
      <c r="E481" s="338">
        <v>2.6255223491844912</v>
      </c>
      <c r="F481" s="384">
        <f t="shared" si="48"/>
        <v>0.38087659025664289</v>
      </c>
    </row>
    <row r="482" spans="2:6" x14ac:dyDescent="0.3">
      <c r="B482" s="337">
        <v>47.8</v>
      </c>
      <c r="C482" s="338">
        <v>22.95237469927968</v>
      </c>
      <c r="D482" s="384">
        <f t="shared" si="49"/>
        <v>4.3568476600000051E-2</v>
      </c>
      <c r="E482" s="338">
        <v>2.6192220389595944</v>
      </c>
      <c r="F482" s="384">
        <f t="shared" si="48"/>
        <v>0.3817927556829887</v>
      </c>
    </row>
    <row r="483" spans="2:6" x14ac:dyDescent="0.3">
      <c r="B483" s="337">
        <v>47.9</v>
      </c>
      <c r="C483" s="338">
        <v>22.926140242159597</v>
      </c>
      <c r="D483" s="384">
        <f t="shared" si="49"/>
        <v>4.3618332150000057E-2</v>
      </c>
      <c r="E483" s="338">
        <v>2.6129334653500984</v>
      </c>
      <c r="F483" s="384">
        <f t="shared" si="48"/>
        <v>0.38271162020040694</v>
      </c>
    </row>
    <row r="484" spans="2:6" x14ac:dyDescent="0.3">
      <c r="B484" s="337">
        <v>48</v>
      </c>
      <c r="C484" s="338">
        <v>22.899665573283936</v>
      </c>
      <c r="D484" s="384">
        <f t="shared" si="49"/>
        <v>4.3668760000000056E-2</v>
      </c>
      <c r="E484" s="338">
        <v>2.6066567328558894</v>
      </c>
      <c r="F484" s="384">
        <f t="shared" si="48"/>
        <v>0.38363317555218945</v>
      </c>
    </row>
    <row r="485" spans="2:6" x14ac:dyDescent="0.3">
      <c r="B485" s="331">
        <v>48.1</v>
      </c>
      <c r="C485" s="332">
        <v>22.87295256353319</v>
      </c>
      <c r="D485" s="385">
        <f t="shared" si="49"/>
        <v>4.3719760150000057E-2</v>
      </c>
      <c r="E485" s="332">
        <v>2.6003919435426628</v>
      </c>
      <c r="F485" s="385">
        <f t="shared" si="48"/>
        <v>0.38455741354037681</v>
      </c>
    </row>
    <row r="486" spans="2:6" x14ac:dyDescent="0.3">
      <c r="B486" s="331">
        <v>48.2</v>
      </c>
      <c r="C486" s="332">
        <v>22.846003093814851</v>
      </c>
      <c r="D486" s="385">
        <f t="shared" si="49"/>
        <v>4.3771332600000053E-2</v>
      </c>
      <c r="E486" s="332">
        <v>2.5941391970745666</v>
      </c>
      <c r="F486" s="385">
        <f t="shared" si="48"/>
        <v>0.38548432602526062</v>
      </c>
    </row>
    <row r="487" spans="2:6" x14ac:dyDescent="0.3">
      <c r="B487" s="331">
        <v>48.3</v>
      </c>
      <c r="C487" s="332">
        <v>22.818819054759437</v>
      </c>
      <c r="D487" s="385">
        <f t="shared" si="49"/>
        <v>4.3823477350000063E-2</v>
      </c>
      <c r="E487" s="332">
        <v>2.5878985907465797</v>
      </c>
      <c r="F487" s="385">
        <f t="shared" si="48"/>
        <v>0.38641390492488781</v>
      </c>
    </row>
    <row r="488" spans="2:6" x14ac:dyDescent="0.3">
      <c r="B488" s="331">
        <v>48.4</v>
      </c>
      <c r="C488" s="332">
        <v>22.791402346416771</v>
      </c>
      <c r="D488" s="385">
        <f t="shared" si="49"/>
        <v>4.3876194400000075E-2</v>
      </c>
      <c r="E488" s="332">
        <v>2.5816702195166368</v>
      </c>
      <c r="F488" s="385">
        <f t="shared" si="48"/>
        <v>0.38734614221456559</v>
      </c>
    </row>
    <row r="489" spans="2:6" x14ac:dyDescent="0.3">
      <c r="B489" s="331">
        <v>48.5</v>
      </c>
      <c r="C489" s="332">
        <v>22.763754877952518</v>
      </c>
      <c r="D489" s="385">
        <f t="shared" si="49"/>
        <v>4.3929483750000074E-2</v>
      </c>
      <c r="E489" s="332">
        <v>2.5754541760373937</v>
      </c>
      <c r="F489" s="385">
        <f t="shared" si="48"/>
        <v>0.38828102992638169</v>
      </c>
    </row>
    <row r="490" spans="2:6" x14ac:dyDescent="0.3">
      <c r="B490" s="331">
        <v>48.6</v>
      </c>
      <c r="C490" s="332">
        <v>22.735878567345143</v>
      </c>
      <c r="D490" s="385">
        <f t="shared" si="49"/>
        <v>4.3983345400000061E-2</v>
      </c>
      <c r="E490" s="332">
        <v>2.5692505506877694</v>
      </c>
      <c r="F490" s="385">
        <f t="shared" si="48"/>
        <v>0.38921856014872019</v>
      </c>
    </row>
    <row r="491" spans="2:6" x14ac:dyDescent="0.3">
      <c r="B491" s="331">
        <v>48.7</v>
      </c>
      <c r="C491" s="332">
        <v>22.707775341083334</v>
      </c>
      <c r="D491" s="385">
        <f t="shared" si="49"/>
        <v>4.4037779350000049E-2</v>
      </c>
      <c r="E491" s="332">
        <v>2.5630594316041759</v>
      </c>
      <c r="F491" s="385">
        <f t="shared" si="48"/>
        <v>0.39015872502578558</v>
      </c>
    </row>
    <row r="492" spans="2:6" x14ac:dyDescent="0.3">
      <c r="B492" s="331">
        <v>48.8</v>
      </c>
      <c r="C492" s="332">
        <v>22.679447133863967</v>
      </c>
      <c r="D492" s="385">
        <f t="shared" si="49"/>
        <v>4.4092785600000073E-2</v>
      </c>
      <c r="E492" s="332">
        <v>2.5568809047114445</v>
      </c>
      <c r="F492" s="385">
        <f t="shared" si="48"/>
        <v>0.39110151675713439</v>
      </c>
    </row>
    <row r="493" spans="2:6" x14ac:dyDescent="0.3">
      <c r="B493" s="331">
        <v>48.9</v>
      </c>
      <c r="C493" s="332">
        <v>22.650895888290769</v>
      </c>
      <c r="D493" s="385">
        <f t="shared" si="49"/>
        <v>4.4148364150000063E-2</v>
      </c>
      <c r="E493" s="332">
        <v>2.5507150537534513</v>
      </c>
      <c r="F493" s="385">
        <f t="shared" si="48"/>
        <v>0.39204692759721277</v>
      </c>
    </row>
    <row r="494" spans="2:6" x14ac:dyDescent="0.3">
      <c r="B494" s="331">
        <v>49</v>
      </c>
      <c r="C494" s="332">
        <v>22.622123554573509</v>
      </c>
      <c r="D494" s="385">
        <f t="shared" si="49"/>
        <v>4.420451500000009E-2</v>
      </c>
      <c r="E494" s="332">
        <v>2.5445619603235405</v>
      </c>
      <c r="F494" s="385">
        <f t="shared" si="48"/>
        <v>0.39299494985488592</v>
      </c>
    </row>
    <row r="495" spans="2:6" x14ac:dyDescent="0.3">
      <c r="B495" s="337">
        <v>49.1</v>
      </c>
      <c r="C495" s="338">
        <v>22.59313209022821</v>
      </c>
      <c r="D495" s="384">
        <f t="shared" si="49"/>
        <v>4.4261238150000083E-2</v>
      </c>
      <c r="E495" s="338">
        <v>2.5384217038944881</v>
      </c>
      <c r="F495" s="384">
        <f t="shared" si="48"/>
        <v>0.39394557589299828</v>
      </c>
    </row>
    <row r="496" spans="2:6" x14ac:dyDescent="0.3">
      <c r="B496" s="337">
        <v>49.2</v>
      </c>
      <c r="C496" s="338">
        <v>22.563923459777971</v>
      </c>
      <c r="D496" s="384">
        <f t="shared" si="49"/>
        <v>4.4318533600000078E-2</v>
      </c>
      <c r="E496" s="338">
        <v>2.5322943618483857</v>
      </c>
      <c r="F496" s="384">
        <f t="shared" si="48"/>
        <v>0.3948987981279059</v>
      </c>
    </row>
    <row r="497" spans="2:6" x14ac:dyDescent="0.3">
      <c r="B497" s="337">
        <v>49.3</v>
      </c>
      <c r="C497" s="338">
        <v>22.534499634454889</v>
      </c>
      <c r="D497" s="384">
        <f t="shared" si="49"/>
        <v>4.4376401350000066E-2</v>
      </c>
      <c r="E497" s="338">
        <v>2.5261800095060445</v>
      </c>
      <c r="F497" s="384">
        <f t="shared" si="48"/>
        <v>0.39585460902904324</v>
      </c>
    </row>
    <row r="498" spans="2:6" x14ac:dyDescent="0.3">
      <c r="B498" s="337">
        <v>49.4</v>
      </c>
      <c r="C498" s="338">
        <v>22.504862591902896</v>
      </c>
      <c r="D498" s="384">
        <f t="shared" si="49"/>
        <v>4.4434841400000084E-2</v>
      </c>
      <c r="E498" s="338">
        <v>2.5200787201562336</v>
      </c>
      <c r="F498" s="384">
        <f t="shared" si="48"/>
        <v>0.39681300111847478</v>
      </c>
    </row>
    <row r="499" spans="2:6" x14ac:dyDescent="0.3">
      <c r="B499" s="337">
        <v>49.5</v>
      </c>
      <c r="C499" s="338">
        <v>22.47501431588174</v>
      </c>
      <c r="D499" s="384">
        <f t="shared" si="49"/>
        <v>4.4493853750000069E-2</v>
      </c>
      <c r="E499" s="338">
        <v>2.5139905650845793</v>
      </c>
      <c r="F499" s="384">
        <f t="shared" si="48"/>
        <v>0.39777396697045941</v>
      </c>
    </row>
    <row r="500" spans="2:6" x14ac:dyDescent="0.3">
      <c r="B500" s="337">
        <v>49.6</v>
      </c>
      <c r="C500" s="338">
        <v>22.444956795971958</v>
      </c>
      <c r="D500" s="384">
        <f t="shared" si="49"/>
        <v>4.4553438400000089E-2</v>
      </c>
      <c r="E500" s="338">
        <v>2.5079156136021741</v>
      </c>
      <c r="F500" s="384">
        <f t="shared" si="48"/>
        <v>0.39873749921101936</v>
      </c>
    </row>
    <row r="501" spans="2:6" x14ac:dyDescent="0.3">
      <c r="B501" s="337">
        <v>49.7</v>
      </c>
      <c r="C501" s="338">
        <v>22.41469202728128</v>
      </c>
      <c r="D501" s="384">
        <f t="shared" si="49"/>
        <v>4.4613595350000083E-2</v>
      </c>
      <c r="E501" s="338">
        <v>2.5018539330739098</v>
      </c>
      <c r="F501" s="384">
        <f t="shared" si="48"/>
        <v>0.39970359051751164</v>
      </c>
    </row>
    <row r="502" spans="2:6" x14ac:dyDescent="0.3">
      <c r="B502" s="337">
        <v>49.8</v>
      </c>
      <c r="C502" s="338">
        <v>22.384222010152069</v>
      </c>
      <c r="D502" s="384">
        <f t="shared" si="49"/>
        <v>4.4674324600000086E-2</v>
      </c>
      <c r="E502" s="338">
        <v>2.4958055889465101</v>
      </c>
      <c r="F502" s="384">
        <f t="shared" si="48"/>
        <v>0.40067223361820586</v>
      </c>
    </row>
    <row r="503" spans="2:6" x14ac:dyDescent="0.3">
      <c r="B503" s="337">
        <v>49.9</v>
      </c>
      <c r="C503" s="338">
        <v>22.353548749870317</v>
      </c>
      <c r="D503" s="384">
        <f t="shared" si="49"/>
        <v>4.4735626150000075E-2</v>
      </c>
      <c r="E503" s="338">
        <v>2.4897706447763079</v>
      </c>
      <c r="F503" s="384">
        <f t="shared" si="48"/>
        <v>0.40164342129186137</v>
      </c>
    </row>
    <row r="504" spans="2:6" x14ac:dyDescent="0.3">
      <c r="B504" s="337">
        <v>50</v>
      </c>
      <c r="C504" s="338">
        <v>22.322674256375873</v>
      </c>
      <c r="D504" s="384">
        <f t="shared" si="49"/>
        <v>4.479750000000008E-2</v>
      </c>
      <c r="E504" s="338">
        <v>2.4837491622566836</v>
      </c>
      <c r="F504" s="384">
        <f t="shared" si="48"/>
        <v>0.40261714636731694</v>
      </c>
    </row>
    <row r="505" spans="2:6" x14ac:dyDescent="0.3">
      <c r="B505" s="331">
        <v>50.1</v>
      </c>
      <c r="C505" s="332">
        <v>22.291600543974308</v>
      </c>
      <c r="D505" s="385">
        <f t="shared" si="49"/>
        <v>4.485994615000008E-2</v>
      </c>
      <c r="E505" s="332">
        <v>2.4777412012452671</v>
      </c>
      <c r="F505" s="385">
        <f t="shared" si="48"/>
        <v>0.40359340172307684</v>
      </c>
    </row>
    <row r="506" spans="2:6" x14ac:dyDescent="0.3">
      <c r="B506" s="331">
        <v>50.2</v>
      </c>
      <c r="C506" s="332">
        <v>22.260329631050169</v>
      </c>
      <c r="D506" s="385">
        <f t="shared" si="49"/>
        <v>4.4922964600000101E-2</v>
      </c>
      <c r="E506" s="332">
        <v>2.4717468197908037</v>
      </c>
      <c r="F506" s="385">
        <f t="shared" si="48"/>
        <v>0.40457218028690939</v>
      </c>
    </row>
    <row r="507" spans="2:6" x14ac:dyDescent="0.3">
      <c r="B507" s="331">
        <v>50.3</v>
      </c>
      <c r="C507" s="332">
        <v>22.228863539781958</v>
      </c>
      <c r="D507" s="385">
        <f t="shared" si="49"/>
        <v>4.4986555350000089E-2</v>
      </c>
      <c r="E507" s="332">
        <v>2.4657660741598186</v>
      </c>
      <c r="F507" s="385">
        <f t="shared" si="48"/>
        <v>0.40555347503543637</v>
      </c>
    </row>
    <row r="508" spans="2:6" x14ac:dyDescent="0.3">
      <c r="B508" s="331">
        <v>50.4</v>
      </c>
      <c r="C508" s="332">
        <v>22.19720429585864</v>
      </c>
      <c r="D508" s="385">
        <f t="shared" si="49"/>
        <v>4.5050718400000099E-2</v>
      </c>
      <c r="E508" s="332">
        <v>2.4597990188628773</v>
      </c>
      <c r="F508" s="385">
        <f t="shared" si="48"/>
        <v>0.40653727899374592</v>
      </c>
    </row>
    <row r="509" spans="2:6" x14ac:dyDescent="0.3">
      <c r="B509" s="331">
        <v>50.5</v>
      </c>
      <c r="C509" s="332">
        <v>22.165353928198002</v>
      </c>
      <c r="D509" s="385">
        <f t="shared" si="49"/>
        <v>4.5115453750000103E-2</v>
      </c>
      <c r="E509" s="332">
        <v>2.4538457066806929</v>
      </c>
      <c r="F509" s="385">
        <f t="shared" si="48"/>
        <v>0.40752358523498849</v>
      </c>
    </row>
    <row r="510" spans="2:6" x14ac:dyDescent="0.3">
      <c r="B510" s="331">
        <v>50.6</v>
      </c>
      <c r="C510" s="332">
        <v>22.1333144686667</v>
      </c>
      <c r="D510" s="385">
        <f t="shared" si="49"/>
        <v>4.5180761400000088E-2</v>
      </c>
      <c r="E510" s="332">
        <v>2.4479061886898412</v>
      </c>
      <c r="F510" s="385">
        <f t="shared" si="48"/>
        <v>0.40851238687999564</v>
      </c>
    </row>
    <row r="511" spans="2:6" x14ac:dyDescent="0.3">
      <c r="B511" s="331">
        <v>50.7</v>
      </c>
      <c r="C511" s="332">
        <v>22.101087951802143</v>
      </c>
      <c r="D511" s="385">
        <f t="shared" si="49"/>
        <v>4.5246641350000109E-2</v>
      </c>
      <c r="E511" s="332">
        <v>2.4419805142883089</v>
      </c>
      <c r="F511" s="385">
        <f t="shared" si="48"/>
        <v>0.40950367709688301</v>
      </c>
    </row>
    <row r="512" spans="2:6" x14ac:dyDescent="0.3">
      <c r="B512" s="331">
        <v>50.8</v>
      </c>
      <c r="C512" s="332">
        <v>22.068676414536345</v>
      </c>
      <c r="D512" s="385">
        <f t="shared" si="49"/>
        <v>4.5313093600000097E-2</v>
      </c>
      <c r="E512" s="332">
        <v>2.4360687312206148</v>
      </c>
      <c r="F512" s="385">
        <f t="shared" si="48"/>
        <v>0.41049744910068309</v>
      </c>
    </row>
    <row r="513" spans="2:6" x14ac:dyDescent="0.3">
      <c r="B513" s="331">
        <v>50.9</v>
      </c>
      <c r="C513" s="332">
        <v>22.036081895921591</v>
      </c>
      <c r="D513" s="385">
        <f t="shared" si="49"/>
        <v>4.53801181500001E-2</v>
      </c>
      <c r="E513" s="332">
        <v>2.4301708856028346</v>
      </c>
      <c r="F513" s="385">
        <f t="shared" si="48"/>
        <v>0.41149369615295073</v>
      </c>
    </row>
    <row r="514" spans="2:6" x14ac:dyDescent="0.3">
      <c r="B514" s="331">
        <v>51</v>
      </c>
      <c r="C514" s="332">
        <v>22.003306436858217</v>
      </c>
      <c r="D514" s="385">
        <f t="shared" si="49"/>
        <v>4.5447715000000104E-2</v>
      </c>
      <c r="E514" s="332">
        <v>2.4242870219471606</v>
      </c>
      <c r="F514" s="385">
        <f t="shared" si="48"/>
        <v>0.41249241156140459</v>
      </c>
    </row>
    <row r="515" spans="2:6" x14ac:dyDescent="0.3">
      <c r="B515" s="337">
        <v>51.1</v>
      </c>
      <c r="C515" s="338">
        <v>21.970352079824373</v>
      </c>
      <c r="D515" s="384">
        <f t="shared" si="49"/>
        <v>4.5515884150000102E-2</v>
      </c>
      <c r="E515" s="338">
        <v>2.4184171831863468</v>
      </c>
      <c r="F515" s="384">
        <f t="shared" si="48"/>
        <v>0.41349358867954539</v>
      </c>
    </row>
    <row r="516" spans="2:6" x14ac:dyDescent="0.3">
      <c r="B516" s="337">
        <v>51.2</v>
      </c>
      <c r="C516" s="338">
        <v>21.937220868607888</v>
      </c>
      <c r="D516" s="384">
        <f t="shared" si="49"/>
        <v>4.5584625600000123E-2</v>
      </c>
      <c r="E516" s="338">
        <v>2.4125614106977959</v>
      </c>
      <c r="F516" s="384">
        <f t="shared" si="48"/>
        <v>0.4144972209062921</v>
      </c>
    </row>
    <row r="517" spans="2:6" x14ac:dyDescent="0.3">
      <c r="B517" s="337">
        <v>51.3</v>
      </c>
      <c r="C517" s="338">
        <v>21.903914848040326</v>
      </c>
      <c r="D517" s="384">
        <f t="shared" si="49"/>
        <v>4.565393935000011E-2</v>
      </c>
      <c r="E517" s="338">
        <v>2.4067197443273831</v>
      </c>
      <c r="F517" s="384">
        <f t="shared" ref="F517:F580" si="50">1/E517</f>
        <v>0.41550330168562044</v>
      </c>
    </row>
    <row r="518" spans="2:6" x14ac:dyDescent="0.3">
      <c r="B518" s="337">
        <v>51.4</v>
      </c>
      <c r="C518" s="338">
        <v>21.870436063733145</v>
      </c>
      <c r="D518" s="384">
        <f t="shared" ref="D518:D581" si="51">1/C518</f>
        <v>4.5723825400000112E-2</v>
      </c>
      <c r="E518" s="338">
        <v>2.4008922224130429</v>
      </c>
      <c r="F518" s="384">
        <f t="shared" si="50"/>
        <v>0.41651182450619922</v>
      </c>
    </row>
    <row r="519" spans="2:6" x14ac:dyDescent="0.3">
      <c r="B519" s="337">
        <v>51.5</v>
      </c>
      <c r="C519" s="338">
        <v>21.836786561816186</v>
      </c>
      <c r="D519" s="384">
        <f t="shared" si="51"/>
        <v>4.5794283750000123E-2</v>
      </c>
      <c r="E519" s="338">
        <v>2.395078881808014</v>
      </c>
      <c r="F519" s="384">
        <f t="shared" si="50"/>
        <v>0.41752278290104289</v>
      </c>
    </row>
    <row r="520" spans="2:6" x14ac:dyDescent="0.3">
      <c r="B520" s="337">
        <v>51.6</v>
      </c>
      <c r="C520" s="338">
        <v>21.802968388678419</v>
      </c>
      <c r="D520" s="384">
        <f t="shared" si="51"/>
        <v>4.5865314400000134E-2</v>
      </c>
      <c r="E520" s="338">
        <v>2.3892797579039144</v>
      </c>
      <c r="F520" s="384">
        <f t="shared" si="50"/>
        <v>0.4185361704471508</v>
      </c>
    </row>
    <row r="521" spans="2:6" x14ac:dyDescent="0.3">
      <c r="B521" s="337">
        <v>51.7</v>
      </c>
      <c r="C521" s="338">
        <v>21.768983590711002</v>
      </c>
      <c r="D521" s="384">
        <f t="shared" si="51"/>
        <v>4.5936917350000113E-2</v>
      </c>
      <c r="E521" s="338">
        <v>2.3834948846535005</v>
      </c>
      <c r="F521" s="384">
        <f t="shared" si="50"/>
        <v>0.41955198076515887</v>
      </c>
    </row>
    <row r="522" spans="2:6" x14ac:dyDescent="0.3">
      <c r="B522" s="337">
        <v>51.8</v>
      </c>
      <c r="C522" s="338">
        <v>21.734834214052661</v>
      </c>
      <c r="D522" s="384">
        <f t="shared" si="51"/>
        <v>4.6009092600000134E-2</v>
      </c>
      <c r="E522" s="338">
        <v>2.3777242945931221</v>
      </c>
      <c r="F522" s="384">
        <f t="shared" si="50"/>
        <v>0.42057020751900115</v>
      </c>
    </row>
    <row r="523" spans="2:6" x14ac:dyDescent="0.3">
      <c r="B523" s="337">
        <v>51.9</v>
      </c>
      <c r="C523" s="338">
        <v>21.700522304337653</v>
      </c>
      <c r="D523" s="384">
        <f t="shared" si="51"/>
        <v>4.6081840150000122E-2</v>
      </c>
      <c r="E523" s="338">
        <v>2.3719680188650063</v>
      </c>
      <c r="F523" s="384">
        <f t="shared" si="50"/>
        <v>0.42159084441555961</v>
      </c>
    </row>
    <row r="524" spans="2:6" x14ac:dyDescent="0.3">
      <c r="B524" s="337">
        <v>52</v>
      </c>
      <c r="C524" s="338">
        <v>21.666049906445938</v>
      </c>
      <c r="D524" s="384">
        <f t="shared" si="51"/>
        <v>4.6155160000000126E-2</v>
      </c>
      <c r="E524" s="338">
        <v>2.3662260872392107</v>
      </c>
      <c r="F524" s="384">
        <f t="shared" si="50"/>
        <v>0.42261388520432885</v>
      </c>
    </row>
    <row r="525" spans="2:6" x14ac:dyDescent="0.3">
      <c r="B525" s="331">
        <v>52.1</v>
      </c>
      <c r="C525" s="332">
        <v>21.63141906425605</v>
      </c>
      <c r="D525" s="385">
        <f t="shared" si="51"/>
        <v>4.622905215000013E-2</v>
      </c>
      <c r="E525" s="332">
        <v>2.3604985281353117</v>
      </c>
      <c r="F525" s="385">
        <f t="shared" si="50"/>
        <v>0.42363932367708584</v>
      </c>
    </row>
    <row r="526" spans="2:6" x14ac:dyDescent="0.3">
      <c r="B526" s="331">
        <v>52.2</v>
      </c>
      <c r="C526" s="332">
        <v>21.596631820400383</v>
      </c>
      <c r="D526" s="385">
        <f t="shared" si="51"/>
        <v>4.6303516600000122E-2</v>
      </c>
      <c r="E526" s="332">
        <v>2.3547853686439182</v>
      </c>
      <c r="F526" s="385">
        <f t="shared" si="50"/>
        <v>0.42466715366754781</v>
      </c>
    </row>
    <row r="527" spans="2:6" x14ac:dyDescent="0.3">
      <c r="B527" s="331">
        <v>52.3</v>
      </c>
      <c r="C527" s="332">
        <v>21.561690216023031</v>
      </c>
      <c r="D527" s="385">
        <f t="shared" si="51"/>
        <v>4.6378553350000129E-2</v>
      </c>
      <c r="E527" s="332">
        <v>2.3490866345478207</v>
      </c>
      <c r="F527" s="385">
        <f t="shared" si="50"/>
        <v>0.4256973690510531</v>
      </c>
    </row>
    <row r="528" spans="2:6" x14ac:dyDescent="0.3">
      <c r="B528" s="331">
        <v>52.4</v>
      </c>
      <c r="C528" s="332">
        <v>21.526596290540304</v>
      </c>
      <c r="D528" s="385">
        <f t="shared" si="51"/>
        <v>4.6454162400000144E-2</v>
      </c>
      <c r="E528" s="332">
        <v>2.3434023503429793</v>
      </c>
      <c r="F528" s="385">
        <f t="shared" si="50"/>
        <v>0.42672996374422878</v>
      </c>
    </row>
    <row r="529" spans="2:6" x14ac:dyDescent="0.3">
      <c r="B529" s="331">
        <v>52.5</v>
      </c>
      <c r="C529" s="332">
        <v>21.491352081403811</v>
      </c>
      <c r="D529" s="385">
        <f t="shared" si="51"/>
        <v>4.6530343750000126E-2</v>
      </c>
      <c r="E529" s="332">
        <v>2.3377325392591795</v>
      </c>
      <c r="F529" s="385">
        <f t="shared" si="50"/>
        <v>0.42776493170467528</v>
      </c>
    </row>
    <row r="530" spans="2:6" x14ac:dyDescent="0.3">
      <c r="B530" s="331">
        <v>52.6</v>
      </c>
      <c r="C530" s="332">
        <v>21.45595962386615</v>
      </c>
      <c r="D530" s="385">
        <f t="shared" si="51"/>
        <v>4.6607097400000137E-2</v>
      </c>
      <c r="E530" s="332">
        <v>2.3320772232805207</v>
      </c>
      <c r="F530" s="385">
        <f t="shared" si="50"/>
        <v>0.42880226693064016</v>
      </c>
    </row>
    <row r="531" spans="2:6" x14ac:dyDescent="0.3">
      <c r="B531" s="331">
        <v>52.7</v>
      </c>
      <c r="C531" s="332">
        <v>21.420420950749453</v>
      </c>
      <c r="D531" s="385">
        <f t="shared" si="51"/>
        <v>4.6684423350000143E-2</v>
      </c>
      <c r="E531" s="332">
        <v>2.3264364231655823</v>
      </c>
      <c r="F531" s="385">
        <f t="shared" si="50"/>
        <v>0.4298419634607078</v>
      </c>
    </row>
    <row r="532" spans="2:6" x14ac:dyDescent="0.3">
      <c r="B532" s="331">
        <v>52.8</v>
      </c>
      <c r="C532" s="332">
        <v>21.384738092216466</v>
      </c>
      <c r="D532" s="385">
        <f t="shared" si="51"/>
        <v>4.6762321600000149E-2</v>
      </c>
      <c r="E532" s="332">
        <v>2.3208101584674039</v>
      </c>
      <c r="F532" s="385">
        <f t="shared" si="50"/>
        <v>0.43088401537348109</v>
      </c>
    </row>
    <row r="533" spans="2:6" x14ac:dyDescent="0.3">
      <c r="B533" s="331">
        <v>52.9</v>
      </c>
      <c r="C533" s="332">
        <v>21.348913075544491</v>
      </c>
      <c r="D533" s="385">
        <f t="shared" si="51"/>
        <v>4.684079215000015E-2</v>
      </c>
      <c r="E533" s="332">
        <v>2.3151984475531533</v>
      </c>
      <c r="F533" s="385">
        <f t="shared" si="50"/>
        <v>0.43192841678727911</v>
      </c>
    </row>
    <row r="534" spans="2:6" x14ac:dyDescent="0.3">
      <c r="B534" s="331">
        <v>53</v>
      </c>
      <c r="C534" s="332">
        <v>21.312947924902062</v>
      </c>
      <c r="D534" s="385">
        <f t="shared" si="51"/>
        <v>4.6919835000000132E-2</v>
      </c>
      <c r="E534" s="332">
        <v>2.3096013076236184</v>
      </c>
      <c r="F534" s="385">
        <f t="shared" si="50"/>
        <v>0.43297516185982515</v>
      </c>
    </row>
    <row r="535" spans="2:6" x14ac:dyDescent="0.3">
      <c r="B535" s="337">
        <v>53.1</v>
      </c>
      <c r="C535" s="338">
        <v>21.276844661128379</v>
      </c>
      <c r="D535" s="384">
        <f t="shared" si="51"/>
        <v>4.6999450150000142E-2</v>
      </c>
      <c r="E535" s="338">
        <v>2.3040187547324447</v>
      </c>
      <c r="F535" s="384">
        <f t="shared" si="50"/>
        <v>0.43402424478794033</v>
      </c>
    </row>
    <row r="536" spans="2:6" x14ac:dyDescent="0.3">
      <c r="B536" s="337">
        <v>53.2</v>
      </c>
      <c r="C536" s="338">
        <v>21.240605301515682</v>
      </c>
      <c r="D536" s="384">
        <f t="shared" si="51"/>
        <v>4.707963760000014E-2</v>
      </c>
      <c r="E536" s="338">
        <v>2.2984508038050775</v>
      </c>
      <c r="F536" s="384">
        <f t="shared" si="50"/>
        <v>0.43507565980725077</v>
      </c>
    </row>
    <row r="537" spans="2:6" x14ac:dyDescent="0.3">
      <c r="B537" s="337">
        <v>53.3</v>
      </c>
      <c r="C537" s="338">
        <v>21.204231859594298</v>
      </c>
      <c r="D537" s="384">
        <f t="shared" si="51"/>
        <v>4.7160397350000167E-2</v>
      </c>
      <c r="E537" s="338">
        <v>2.2928974686575456</v>
      </c>
      <c r="F537" s="384">
        <f t="shared" si="50"/>
        <v>0.43612940119188315</v>
      </c>
    </row>
    <row r="538" spans="2:6" x14ac:dyDescent="0.3">
      <c r="B538" s="337">
        <v>53.4</v>
      </c>
      <c r="C538" s="338">
        <v>21.167726344920734</v>
      </c>
      <c r="D538" s="384">
        <f t="shared" si="51"/>
        <v>4.7241729400000168E-2</v>
      </c>
      <c r="E538" s="338">
        <v>2.2873587620149642</v>
      </c>
      <c r="F538" s="384">
        <f t="shared" si="50"/>
        <v>0.43718546325417135</v>
      </c>
    </row>
    <row r="539" spans="2:6" x14ac:dyDescent="0.3">
      <c r="B539" s="337">
        <v>53.5</v>
      </c>
      <c r="C539" s="338">
        <v>21.131090762868496</v>
      </c>
      <c r="D539" s="384">
        <f t="shared" si="51"/>
        <v>4.7323633750000149E-2</v>
      </c>
      <c r="E539" s="338">
        <v>2.2818346955298012</v>
      </c>
      <c r="F539" s="384">
        <f t="shared" si="50"/>
        <v>0.4382438403443672</v>
      </c>
    </row>
    <row r="540" spans="2:6" x14ac:dyDescent="0.3">
      <c r="B540" s="337">
        <v>53.6</v>
      </c>
      <c r="C540" s="338">
        <v>21.094327114421876</v>
      </c>
      <c r="D540" s="384">
        <f t="shared" si="51"/>
        <v>4.7406110400000145E-2</v>
      </c>
      <c r="E540" s="338">
        <v>2.2763252797999574</v>
      </c>
      <c r="F540" s="384">
        <f t="shared" si="50"/>
        <v>0.43930452685034521</v>
      </c>
    </row>
    <row r="541" spans="2:6" x14ac:dyDescent="0.3">
      <c r="B541" s="337">
        <v>53.7</v>
      </c>
      <c r="C541" s="338">
        <v>21.057437395972698</v>
      </c>
      <c r="D541" s="384">
        <f t="shared" si="51"/>
        <v>4.7489159350000164E-2</v>
      </c>
      <c r="E541" s="338">
        <v>2.2708305243865627</v>
      </c>
      <c r="F541" s="384">
        <f t="shared" si="50"/>
        <v>0.44036751719732048</v>
      </c>
    </row>
    <row r="542" spans="2:6" x14ac:dyDescent="0.3">
      <c r="B542" s="337">
        <v>53.8</v>
      </c>
      <c r="C542" s="338">
        <v>21.020423599119969</v>
      </c>
      <c r="D542" s="384">
        <f t="shared" si="51"/>
        <v>4.7572780600000163E-2</v>
      </c>
      <c r="E542" s="338">
        <v>2.265350437831569</v>
      </c>
      <c r="F542" s="384">
        <f t="shared" si="50"/>
        <v>0.44143280584756528</v>
      </c>
    </row>
    <row r="543" spans="2:6" x14ac:dyDescent="0.3">
      <c r="B543" s="337">
        <v>53.9</v>
      </c>
      <c r="C543" s="338">
        <v>20.983287710472414</v>
      </c>
      <c r="D543" s="384">
        <f t="shared" si="51"/>
        <v>4.7656974150000163E-2</v>
      </c>
      <c r="E543" s="338">
        <v>2.2598850276751485</v>
      </c>
      <c r="F543" s="384">
        <f t="shared" si="50"/>
        <v>0.44250038730012192</v>
      </c>
    </row>
    <row r="544" spans="2:6" x14ac:dyDescent="0.3">
      <c r="B544" s="337">
        <v>54</v>
      </c>
      <c r="C544" s="338">
        <v>20.946031711454093</v>
      </c>
      <c r="D544" s="384">
        <f t="shared" si="51"/>
        <v>4.7741740000000171E-2</v>
      </c>
      <c r="E544" s="338">
        <v>2.2544343004727847</v>
      </c>
      <c r="F544" s="384">
        <f t="shared" si="50"/>
        <v>0.44357025609053535</v>
      </c>
    </row>
    <row r="545" spans="2:6" x14ac:dyDescent="0.3">
      <c r="B545" s="331">
        <v>54.1</v>
      </c>
      <c r="C545" s="332">
        <v>20.908657578112926</v>
      </c>
      <c r="D545" s="385">
        <f t="shared" si="51"/>
        <v>4.782707815000016E-2</v>
      </c>
      <c r="E545" s="332">
        <v>2.2489982618122752</v>
      </c>
      <c r="F545" s="385">
        <f t="shared" si="50"/>
        <v>0.44464240679056177</v>
      </c>
    </row>
    <row r="546" spans="2:6" x14ac:dyDescent="0.3">
      <c r="B546" s="331">
        <v>54.2</v>
      </c>
      <c r="C546" s="332">
        <v>20.87116728093218</v>
      </c>
      <c r="D546" s="385">
        <f t="shared" si="51"/>
        <v>4.7912988600000164E-2</v>
      </c>
      <c r="E546" s="332">
        <v>2.2435769163303538</v>
      </c>
      <c r="F546" s="385">
        <f t="shared" si="50"/>
        <v>0.44571683400791229</v>
      </c>
    </row>
    <row r="547" spans="2:6" x14ac:dyDescent="0.3">
      <c r="B547" s="331">
        <v>54.3</v>
      </c>
      <c r="C547" s="332">
        <v>20.83356278464505</v>
      </c>
      <c r="D547" s="385">
        <f t="shared" si="51"/>
        <v>4.7999471350000177E-2</v>
      </c>
      <c r="E547" s="332">
        <v>2.2381702677292368</v>
      </c>
      <c r="F547" s="385">
        <f t="shared" si="50"/>
        <v>0.44679353238597092</v>
      </c>
    </row>
    <row r="548" spans="2:6" x14ac:dyDescent="0.3">
      <c r="B548" s="331">
        <v>54.4</v>
      </c>
      <c r="C548" s="332">
        <v>20.795846048052166</v>
      </c>
      <c r="D548" s="385">
        <f t="shared" si="51"/>
        <v>4.8086526400000183E-2</v>
      </c>
      <c r="E548" s="332">
        <v>2.2327783187928865</v>
      </c>
      <c r="F548" s="385">
        <f t="shared" si="50"/>
        <v>0.4478724966035289</v>
      </c>
    </row>
    <row r="549" spans="2:6" x14ac:dyDescent="0.3">
      <c r="B549" s="331">
        <v>54.5</v>
      </c>
      <c r="C549" s="332">
        <v>20.758019023842138</v>
      </c>
      <c r="D549" s="385">
        <f t="shared" si="51"/>
        <v>4.8174153750000191E-2</v>
      </c>
      <c r="E549" s="332">
        <v>2.2274010714030519</v>
      </c>
      <c r="F549" s="385">
        <f t="shared" si="50"/>
        <v>0.44895372137452311</v>
      </c>
    </row>
    <row r="550" spans="2:6" x14ac:dyDescent="0.3">
      <c r="B550" s="331">
        <v>54.6</v>
      </c>
      <c r="C550" s="332">
        <v>20.720083658415138</v>
      </c>
      <c r="D550" s="385">
        <f t="shared" si="51"/>
        <v>4.826235340000018E-2</v>
      </c>
      <c r="E550" s="332">
        <v>2.2220385265551603</v>
      </c>
      <c r="F550" s="385">
        <f t="shared" si="50"/>
        <v>0.45003720144776516</v>
      </c>
    </row>
    <row r="551" spans="2:6" x14ac:dyDescent="0.3">
      <c r="B551" s="331">
        <v>54.7</v>
      </c>
      <c r="C551" s="332">
        <v>20.682041891709478</v>
      </c>
      <c r="D551" s="385">
        <f t="shared" si="51"/>
        <v>4.835112535000019E-2</v>
      </c>
      <c r="E551" s="332">
        <v>2.2166906843738978</v>
      </c>
      <c r="F551" s="385">
        <f t="shared" si="50"/>
        <v>0.45112293160669326</v>
      </c>
    </row>
    <row r="552" spans="2:6" x14ac:dyDescent="0.3">
      <c r="B552" s="331">
        <v>54.8</v>
      </c>
      <c r="C552" s="332">
        <v>20.64389565703129</v>
      </c>
      <c r="D552" s="385">
        <f t="shared" si="51"/>
        <v>4.8440469600000181E-2</v>
      </c>
      <c r="E552" s="332">
        <v>2.2113575441287123</v>
      </c>
      <c r="F552" s="385">
        <f t="shared" si="50"/>
        <v>0.4522109066691003</v>
      </c>
    </row>
    <row r="553" spans="2:6" x14ac:dyDescent="0.3">
      <c r="B553" s="331">
        <v>54.9</v>
      </c>
      <c r="C553" s="332">
        <v>20.605646880887139</v>
      </c>
      <c r="D553" s="385">
        <f t="shared" si="51"/>
        <v>4.8530386150000195E-2</v>
      </c>
      <c r="E553" s="332">
        <v>2.2060391042489917</v>
      </c>
      <c r="F553" s="385">
        <f t="shared" si="50"/>
        <v>0.453301121486889</v>
      </c>
    </row>
    <row r="554" spans="2:6" x14ac:dyDescent="0.3">
      <c r="B554" s="331">
        <v>55</v>
      </c>
      <c r="C554" s="332">
        <v>20.567297482819797</v>
      </c>
      <c r="D554" s="385">
        <f t="shared" si="51"/>
        <v>4.8620875000000195E-2</v>
      </c>
      <c r="E554" s="332">
        <v>2.2007353623391142</v>
      </c>
      <c r="F554" s="385">
        <f t="shared" si="50"/>
        <v>0.45439357094581401</v>
      </c>
    </row>
    <row r="555" spans="2:6" x14ac:dyDescent="0.3">
      <c r="B555" s="337">
        <v>55.1</v>
      </c>
      <c r="C555" s="338">
        <v>20.528849375246924</v>
      </c>
      <c r="D555" s="384">
        <f t="shared" si="51"/>
        <v>4.8711936150000218E-2</v>
      </c>
      <c r="E555" s="338">
        <v>2.1954463151932804</v>
      </c>
      <c r="F555" s="384">
        <f t="shared" si="50"/>
        <v>0.45548824996522996</v>
      </c>
    </row>
    <row r="556" spans="2:6" x14ac:dyDescent="0.3">
      <c r="B556" s="337">
        <v>55.2</v>
      </c>
      <c r="C556" s="338">
        <v>20.490304463302945</v>
      </c>
      <c r="D556" s="384">
        <f t="shared" si="51"/>
        <v>4.88035696000002E-2</v>
      </c>
      <c r="E556" s="338">
        <v>2.1901719588101263</v>
      </c>
      <c r="F556" s="384">
        <f t="shared" si="50"/>
        <v>0.45658515349784623</v>
      </c>
    </row>
    <row r="557" spans="2:6" x14ac:dyDescent="0.3">
      <c r="B557" s="337">
        <v>55.3</v>
      </c>
      <c r="C557" s="338">
        <v>20.451664644683781</v>
      </c>
      <c r="D557" s="384">
        <f t="shared" si="51"/>
        <v>4.8895775350000212E-2</v>
      </c>
      <c r="E557" s="338">
        <v>2.1849122884071774</v>
      </c>
      <c r="F557" s="384">
        <f t="shared" si="50"/>
        <v>0.45768427652947563</v>
      </c>
    </row>
    <row r="558" spans="2:6" x14ac:dyDescent="0.3">
      <c r="B558" s="337">
        <v>55.4</v>
      </c>
      <c r="C558" s="338">
        <v>20.412931809494822</v>
      </c>
      <c r="D558" s="384">
        <f t="shared" si="51"/>
        <v>4.8988553400000211E-2</v>
      </c>
      <c r="E558" s="338">
        <v>2.1796672984350418</v>
      </c>
      <c r="F558" s="384">
        <f t="shared" si="50"/>
        <v>0.45878561407880014</v>
      </c>
    </row>
    <row r="559" spans="2:6" x14ac:dyDescent="0.3">
      <c r="B559" s="337">
        <v>55.5</v>
      </c>
      <c r="C559" s="338">
        <v>20.374107840101775</v>
      </c>
      <c r="D559" s="384">
        <f t="shared" si="51"/>
        <v>4.9081903750000211E-2</v>
      </c>
      <c r="E559" s="338">
        <v>2.174436982591494</v>
      </c>
      <c r="F559" s="384">
        <f t="shared" si="50"/>
        <v>0.45988916119712053</v>
      </c>
    </row>
    <row r="560" spans="2:6" x14ac:dyDescent="0.3">
      <c r="B560" s="337">
        <v>55.6</v>
      </c>
      <c r="C560" s="338">
        <v>20.335194610984626</v>
      </c>
      <c r="D560" s="384">
        <f t="shared" si="51"/>
        <v>4.9175826400000219E-2</v>
      </c>
      <c r="E560" s="338">
        <v>2.1692213338353281</v>
      </c>
      <c r="F560" s="384">
        <f t="shared" si="50"/>
        <v>0.46099491296811712</v>
      </c>
    </row>
    <row r="561" spans="2:6" x14ac:dyDescent="0.3">
      <c r="B561" s="337">
        <v>55.7</v>
      </c>
      <c r="C561" s="338">
        <v>20.296193988594634</v>
      </c>
      <c r="D561" s="384">
        <f t="shared" si="51"/>
        <v>4.9270321350000201E-2</v>
      </c>
      <c r="E561" s="338">
        <v>2.1640203443999955</v>
      </c>
      <c r="F561" s="384">
        <f t="shared" si="50"/>
        <v>0.46210286450761801</v>
      </c>
    </row>
    <row r="562" spans="2:6" x14ac:dyDescent="0.3">
      <c r="B562" s="337">
        <v>55.8</v>
      </c>
      <c r="C562" s="338">
        <v>20.257107831214274</v>
      </c>
      <c r="D562" s="384">
        <f t="shared" si="51"/>
        <v>4.9365388600000205E-2</v>
      </c>
      <c r="E562" s="338">
        <v>2.1588340058070941</v>
      </c>
      <c r="F562" s="384">
        <f t="shared" si="50"/>
        <v>0.46321301096336193</v>
      </c>
    </row>
    <row r="563" spans="2:6" x14ac:dyDescent="0.3">
      <c r="B563" s="337">
        <v>55.9</v>
      </c>
      <c r="C563" s="338">
        <v>20.217937988820307</v>
      </c>
      <c r="D563" s="384">
        <f t="shared" si="51"/>
        <v>4.9461028150000218E-2</v>
      </c>
      <c r="E563" s="338">
        <v>2.1536623088796651</v>
      </c>
      <c r="F563" s="384">
        <f t="shared" si="50"/>
        <v>0.46432534751476423</v>
      </c>
    </row>
    <row r="564" spans="2:6" x14ac:dyDescent="0.3">
      <c r="B564" s="337">
        <v>56</v>
      </c>
      <c r="C564" s="338">
        <v>20.178686302949792</v>
      </c>
      <c r="D564" s="384">
        <f t="shared" si="51"/>
        <v>4.9557240000000218E-2</v>
      </c>
      <c r="E564" s="338">
        <v>2.1485052437553098</v>
      </c>
      <c r="F564" s="384">
        <f t="shared" si="50"/>
        <v>0.46543986937268494</v>
      </c>
    </row>
    <row r="565" spans="2:6" x14ac:dyDescent="0.3">
      <c r="B565" s="331">
        <v>56.1</v>
      </c>
      <c r="C565" s="332">
        <v>20.139354606569093</v>
      </c>
      <c r="D565" s="385">
        <f t="shared" si="51"/>
        <v>4.9654024150000226E-2</v>
      </c>
      <c r="E565" s="332">
        <v>2.1433627998991023</v>
      </c>
      <c r="F565" s="385">
        <f t="shared" si="50"/>
        <v>0.46655657177920346</v>
      </c>
    </row>
    <row r="566" spans="2:6" x14ac:dyDescent="0.3">
      <c r="B566" s="331">
        <v>56.2</v>
      </c>
      <c r="C566" s="332">
        <v>20.099944723945917</v>
      </c>
      <c r="D566" s="385">
        <f t="shared" si="51"/>
        <v>4.9751380600000235E-2</v>
      </c>
      <c r="E566" s="332">
        <v>2.138234966116316</v>
      </c>
      <c r="F566" s="385">
        <f t="shared" si="50"/>
        <v>0.4676754500073973</v>
      </c>
    </row>
    <row r="567" spans="2:6" x14ac:dyDescent="0.3">
      <c r="B567" s="331">
        <v>56.3</v>
      </c>
      <c r="C567" s="332">
        <v>20.060458470524335</v>
      </c>
      <c r="D567" s="385">
        <f t="shared" si="51"/>
        <v>4.9849309350000232E-2</v>
      </c>
      <c r="E567" s="332">
        <v>2.1331217305650898</v>
      </c>
      <c r="F567" s="385">
        <f t="shared" si="50"/>
        <v>0.46879649936109735</v>
      </c>
    </row>
    <row r="568" spans="2:6" x14ac:dyDescent="0.3">
      <c r="B568" s="331">
        <v>56.4</v>
      </c>
      <c r="C568" s="332">
        <v>20.02089765280272</v>
      </c>
      <c r="D568" s="385">
        <f t="shared" si="51"/>
        <v>4.9947810400000237E-2</v>
      </c>
      <c r="E568" s="332">
        <v>2.1280230807686906</v>
      </c>
      <c r="F568" s="385">
        <f t="shared" si="50"/>
        <v>0.46991971517469494</v>
      </c>
    </row>
    <row r="569" spans="2:6" x14ac:dyDescent="0.3">
      <c r="B569" s="331">
        <v>56.5</v>
      </c>
      <c r="C569" s="332">
        <v>19.981264068214742</v>
      </c>
      <c r="D569" s="385">
        <f t="shared" si="51"/>
        <v>5.0046883750000236E-2</v>
      </c>
      <c r="E569" s="332">
        <v>2.1229390036278462</v>
      </c>
      <c r="F569" s="385">
        <f t="shared" si="50"/>
        <v>0.47104509281289803</v>
      </c>
    </row>
    <row r="570" spans="2:6" x14ac:dyDescent="0.3">
      <c r="B570" s="331">
        <v>56.6</v>
      </c>
      <c r="C570" s="332">
        <v>19.941559505013224</v>
      </c>
      <c r="D570" s="385">
        <f t="shared" si="51"/>
        <v>5.0146529400000243E-2</v>
      </c>
      <c r="E570" s="332">
        <v>2.1178694854327658</v>
      </c>
      <c r="F570" s="385">
        <f t="shared" si="50"/>
        <v>0.47217262767051948</v>
      </c>
    </row>
    <row r="571" spans="2:6" x14ac:dyDescent="0.3">
      <c r="B571" s="331">
        <v>56.7</v>
      </c>
      <c r="C571" s="332">
        <v>19.901785742157006</v>
      </c>
      <c r="D571" s="385">
        <f t="shared" si="51"/>
        <v>5.0246747350000232E-2</v>
      </c>
      <c r="E571" s="332">
        <v>2.1128145118749844</v>
      </c>
      <c r="F571" s="385">
        <f t="shared" si="50"/>
        <v>0.47330231517227017</v>
      </c>
    </row>
    <row r="572" spans="2:6" x14ac:dyDescent="0.3">
      <c r="B572" s="331">
        <v>56.8</v>
      </c>
      <c r="C572" s="332">
        <v>19.861944549200661</v>
      </c>
      <c r="D572" s="385">
        <f t="shared" si="51"/>
        <v>5.0347537600000235E-2</v>
      </c>
      <c r="E572" s="332">
        <v>2.1077740680591313</v>
      </c>
      <c r="F572" s="385">
        <f t="shared" si="50"/>
        <v>0.47443415077253248</v>
      </c>
    </row>
    <row r="573" spans="2:6" x14ac:dyDescent="0.3">
      <c r="B573" s="331">
        <v>56.9</v>
      </c>
      <c r="C573" s="332">
        <v>19.822037686187201</v>
      </c>
      <c r="D573" s="385">
        <f t="shared" si="51"/>
        <v>5.0448900150000246E-2</v>
      </c>
      <c r="E573" s="332">
        <v>2.1027481385144631</v>
      </c>
      <c r="F573" s="385">
        <f t="shared" si="50"/>
        <v>0.47556812995515196</v>
      </c>
    </row>
    <row r="574" spans="2:6" x14ac:dyDescent="0.3">
      <c r="B574" s="331">
        <v>57</v>
      </c>
      <c r="C574" s="332">
        <v>19.782066903543633</v>
      </c>
      <c r="D574" s="385">
        <f t="shared" si="51"/>
        <v>5.0550835000000245E-2</v>
      </c>
      <c r="E574" s="332">
        <v>2.0977367072062307</v>
      </c>
      <c r="F574" s="385">
        <f t="shared" si="50"/>
        <v>0.47670424823323115</v>
      </c>
    </row>
    <row r="575" spans="2:6" x14ac:dyDescent="0.3">
      <c r="B575" s="337">
        <v>57.1</v>
      </c>
      <c r="C575" s="338">
        <v>19.74203394197939</v>
      </c>
      <c r="D575" s="384">
        <f t="shared" si="51"/>
        <v>5.0653342150000238E-2</v>
      </c>
      <c r="E575" s="338">
        <v>2.0927397575469318</v>
      </c>
      <c r="F575" s="384">
        <f t="shared" si="50"/>
        <v>0.47784250114891508</v>
      </c>
    </row>
    <row r="576" spans="2:6" x14ac:dyDescent="0.3">
      <c r="B576" s="337">
        <v>57.2</v>
      </c>
      <c r="C576" s="338">
        <v>19.701940532387635</v>
      </c>
      <c r="D576" s="384">
        <f t="shared" si="51"/>
        <v>5.075642160000024E-2</v>
      </c>
      <c r="E576" s="338">
        <v>2.087757272407361</v>
      </c>
      <c r="F576" s="384">
        <f t="shared" si="50"/>
        <v>0.47898288427318725</v>
      </c>
    </row>
    <row r="577" spans="2:6" x14ac:dyDescent="0.3">
      <c r="B577" s="337">
        <v>57.3</v>
      </c>
      <c r="C577" s="338">
        <v>19.661788395749429</v>
      </c>
      <c r="D577" s="384">
        <f t="shared" si="51"/>
        <v>5.0860073350000264E-2</v>
      </c>
      <c r="E577" s="338">
        <v>2.0827892341275036</v>
      </c>
      <c r="F577" s="384">
        <f t="shared" si="50"/>
        <v>0.48012539320566811</v>
      </c>
    </row>
    <row r="578" spans="2:6" x14ac:dyDescent="0.3">
      <c r="B578" s="337">
        <v>57.4</v>
      </c>
      <c r="C578" s="338">
        <v>19.621579243040738</v>
      </c>
      <c r="D578" s="384">
        <f t="shared" si="51"/>
        <v>5.0964297400000254E-2</v>
      </c>
      <c r="E578" s="338">
        <v>2.0778356245273248</v>
      </c>
      <c r="F578" s="384">
        <f t="shared" si="50"/>
        <v>0.48127002357440302</v>
      </c>
    </row>
    <row r="579" spans="2:6" x14ac:dyDescent="0.3">
      <c r="B579" s="337">
        <v>57.5</v>
      </c>
      <c r="C579" s="338">
        <v>19.58131477514215</v>
      </c>
      <c r="D579" s="384">
        <f t="shared" si="51"/>
        <v>5.1069093750000273E-2</v>
      </c>
      <c r="E579" s="338">
        <v>2.0728964249172974</v>
      </c>
      <c r="F579" s="384">
        <f t="shared" si="50"/>
        <v>0.48241677103567637</v>
      </c>
    </row>
    <row r="580" spans="2:6" x14ac:dyDescent="0.3">
      <c r="B580" s="337">
        <v>57.6</v>
      </c>
      <c r="C580" s="338">
        <v>19.540996682751569</v>
      </c>
      <c r="D580" s="384">
        <f t="shared" si="51"/>
        <v>5.1174462400000259E-2</v>
      </c>
      <c r="E580" s="338">
        <v>2.0679716161089372</v>
      </c>
      <c r="F580" s="384">
        <f t="shared" si="50"/>
        <v>0.48356563127379099</v>
      </c>
    </row>
    <row r="581" spans="2:6" x14ac:dyDescent="0.3">
      <c r="B581" s="337">
        <v>57.7</v>
      </c>
      <c r="C581" s="338">
        <v>19.500626646299477</v>
      </c>
      <c r="D581" s="384">
        <f t="shared" si="51"/>
        <v>5.128040335000026E-2</v>
      </c>
      <c r="E581" s="338">
        <v>2.0630611784249924</v>
      </c>
      <c r="F581" s="384">
        <f t="shared" ref="F581:F644" si="52">1/E581</f>
        <v>0.484716600000894</v>
      </c>
    </row>
    <row r="582" spans="2:6" x14ac:dyDescent="0.3">
      <c r="B582" s="337">
        <v>57.8</v>
      </c>
      <c r="C582" s="338">
        <v>19.460206335867106</v>
      </c>
      <c r="D582" s="384">
        <f t="shared" ref="D582:D645" si="53">1/C582</f>
        <v>5.1386916600000276E-2</v>
      </c>
      <c r="E582" s="338">
        <v>2.0581650917096597</v>
      </c>
      <c r="F582" s="384">
        <f t="shared" si="52"/>
        <v>0.48586967295676375</v>
      </c>
    </row>
    <row r="583" spans="2:6" x14ac:dyDescent="0.3">
      <c r="B583" s="337">
        <v>57.9</v>
      </c>
      <c r="C583" s="338">
        <v>19.419737411107299</v>
      </c>
      <c r="D583" s="384">
        <f t="shared" si="53"/>
        <v>5.1494002150000273E-2</v>
      </c>
      <c r="E583" s="338">
        <v>2.0532833353385498</v>
      </c>
      <c r="F583" s="384">
        <f t="shared" si="52"/>
        <v>0.48702484590862266</v>
      </c>
    </row>
    <row r="584" spans="2:6" x14ac:dyDescent="0.3">
      <c r="B584" s="337">
        <v>58</v>
      </c>
      <c r="C584" s="338">
        <v>19.379221521168013</v>
      </c>
      <c r="D584" s="384">
        <f t="shared" si="53"/>
        <v>5.1601660000000278E-2</v>
      </c>
      <c r="E584" s="338">
        <v>2.0484158882285266</v>
      </c>
      <c r="F584" s="384">
        <f t="shared" si="52"/>
        <v>0.48818211465094702</v>
      </c>
    </row>
    <row r="585" spans="2:6" x14ac:dyDescent="0.3">
      <c r="B585" s="331">
        <v>58.1</v>
      </c>
      <c r="C585" s="332">
        <v>19.338660304618625</v>
      </c>
      <c r="D585" s="385">
        <f t="shared" si="53"/>
        <v>5.1709890150000277E-2</v>
      </c>
      <c r="E585" s="332">
        <v>2.0435627288474425</v>
      </c>
      <c r="F585" s="385">
        <f t="shared" si="52"/>
        <v>0.48934147500526898</v>
      </c>
    </row>
    <row r="586" spans="2:6" x14ac:dyDescent="0.3">
      <c r="B586" s="331">
        <v>58.2</v>
      </c>
      <c r="C586" s="332">
        <v>19.298055389378828</v>
      </c>
      <c r="D586" s="385">
        <f t="shared" si="53"/>
        <v>5.1818692600000271E-2</v>
      </c>
      <c r="E586" s="332">
        <v>2.0387238352236592</v>
      </c>
      <c r="F586" s="385">
        <f t="shared" si="52"/>
        <v>0.49050292281999758</v>
      </c>
    </row>
    <row r="587" spans="2:6" x14ac:dyDescent="0.3">
      <c r="B587" s="331">
        <v>58.3</v>
      </c>
      <c r="C587" s="332">
        <v>19.257408392650191</v>
      </c>
      <c r="D587" s="385">
        <f t="shared" si="53"/>
        <v>5.1928067350000294E-2</v>
      </c>
      <c r="E587" s="332">
        <v>2.0338991849555117</v>
      </c>
      <c r="F587" s="385">
        <f t="shared" si="52"/>
        <v>0.49166645397022146</v>
      </c>
    </row>
    <row r="588" spans="2:6" x14ac:dyDescent="0.3">
      <c r="B588" s="331">
        <v>58.4</v>
      </c>
      <c r="C588" s="332">
        <v>19.216720920850406</v>
      </c>
      <c r="D588" s="385">
        <f t="shared" si="53"/>
        <v>5.2038014400000276E-2</v>
      </c>
      <c r="E588" s="332">
        <v>2.0290887552205361</v>
      </c>
      <c r="F588" s="385">
        <f t="shared" si="52"/>
        <v>0.49283206435753607</v>
      </c>
    </row>
    <row r="589" spans="2:6" x14ac:dyDescent="0.3">
      <c r="B589" s="331">
        <v>58.5</v>
      </c>
      <c r="C589" s="332">
        <v>19.175994569549985</v>
      </c>
      <c r="D589" s="385">
        <f t="shared" si="53"/>
        <v>5.2148533750000309E-2</v>
      </c>
      <c r="E589" s="332">
        <v>2.0242925227846897</v>
      </c>
      <c r="F589" s="385">
        <f t="shared" si="52"/>
        <v>0.49399974990984208</v>
      </c>
    </row>
    <row r="590" spans="2:6" x14ac:dyDescent="0.3">
      <c r="B590" s="331">
        <v>58.6</v>
      </c>
      <c r="C590" s="332">
        <v>19.135230923411758</v>
      </c>
      <c r="D590" s="385">
        <f t="shared" si="53"/>
        <v>5.2259625400000287E-2</v>
      </c>
      <c r="E590" s="332">
        <v>2.0195104640112733</v>
      </c>
      <c r="F590" s="385">
        <f t="shared" si="52"/>
        <v>0.49516950658118392</v>
      </c>
    </row>
    <row r="591" spans="2:6" x14ac:dyDescent="0.3">
      <c r="B591" s="331">
        <v>58.7</v>
      </c>
      <c r="C591" s="332">
        <v>19.094431556132665</v>
      </c>
      <c r="D591" s="385">
        <f t="shared" si="53"/>
        <v>5.237128935000028E-2</v>
      </c>
      <c r="E591" s="332">
        <v>2.0147425548698896</v>
      </c>
      <c r="F591" s="385">
        <f t="shared" si="52"/>
        <v>0.49634133035154915</v>
      </c>
    </row>
    <row r="592" spans="2:6" x14ac:dyDescent="0.3">
      <c r="B592" s="331">
        <v>58.8</v>
      </c>
      <c r="C592" s="332">
        <v>19.053598030388304</v>
      </c>
      <c r="D592" s="385">
        <f t="shared" si="53"/>
        <v>5.2483525600000309E-2</v>
      </c>
      <c r="E592" s="332">
        <v>2.0099887709451205</v>
      </c>
      <c r="F592" s="385">
        <f t="shared" si="52"/>
        <v>0.49751521722670528</v>
      </c>
    </row>
    <row r="593" spans="2:6" x14ac:dyDescent="0.3">
      <c r="B593" s="331">
        <v>58.9</v>
      </c>
      <c r="C593" s="332">
        <v>19.012731897779886</v>
      </c>
      <c r="D593" s="385">
        <f t="shared" si="53"/>
        <v>5.2596334150000285E-2</v>
      </c>
      <c r="E593" s="332">
        <v>2.0052490874451854</v>
      </c>
      <c r="F593" s="385">
        <f t="shared" si="52"/>
        <v>0.49869116323801121</v>
      </c>
    </row>
    <row r="594" spans="2:6" x14ac:dyDescent="0.3">
      <c r="B594" s="331">
        <v>59</v>
      </c>
      <c r="C594" s="332">
        <v>18.971834698783592</v>
      </c>
      <c r="D594" s="385">
        <f t="shared" si="53"/>
        <v>5.2709715000000316E-2</v>
      </c>
      <c r="E594" s="332">
        <v>2.0005234792103934</v>
      </c>
      <c r="F594" s="385">
        <f t="shared" si="52"/>
        <v>0.49986916444224888</v>
      </c>
    </row>
    <row r="595" spans="2:6" x14ac:dyDescent="0.3">
      <c r="B595" s="337">
        <v>59.1</v>
      </c>
      <c r="C595" s="338">
        <v>18.930907962702587</v>
      </c>
      <c r="D595" s="384">
        <f t="shared" si="53"/>
        <v>5.2823668150000315E-2</v>
      </c>
      <c r="E595" s="338">
        <v>1.9958119207215115</v>
      </c>
      <c r="F595" s="384">
        <f t="shared" si="52"/>
        <v>0.50104921692144577</v>
      </c>
    </row>
    <row r="596" spans="2:6" x14ac:dyDescent="0.3">
      <c r="B596" s="337">
        <v>59.2</v>
      </c>
      <c r="C596" s="338">
        <v>18.889953207621236</v>
      </c>
      <c r="D596" s="384">
        <f t="shared" si="53"/>
        <v>5.2938193600000322E-2</v>
      </c>
      <c r="E596" s="338">
        <v>1.991114386107989</v>
      </c>
      <c r="F596" s="384">
        <f t="shared" si="52"/>
        <v>0.50223131678270372</v>
      </c>
    </row>
    <row r="597" spans="2:6" x14ac:dyDescent="0.3">
      <c r="B597" s="337">
        <v>59.3</v>
      </c>
      <c r="C597" s="338">
        <v>18.848971940361885</v>
      </c>
      <c r="D597" s="384">
        <f t="shared" si="53"/>
        <v>5.3053291350000323E-2</v>
      </c>
      <c r="E597" s="338">
        <v>1.9864308491560947</v>
      </c>
      <c r="F597" s="384">
        <f t="shared" si="52"/>
        <v>0.50341546015801908</v>
      </c>
    </row>
    <row r="598" spans="2:6" x14ac:dyDescent="0.3">
      <c r="B598" s="337">
        <v>59.4</v>
      </c>
      <c r="C598" s="338">
        <v>18.807965656443951</v>
      </c>
      <c r="D598" s="384">
        <f t="shared" si="53"/>
        <v>5.3168961400000311E-2</v>
      </c>
      <c r="E598" s="338">
        <v>1.9817612833168385</v>
      </c>
      <c r="F598" s="384">
        <f t="shared" si="52"/>
        <v>0.50460164320412892</v>
      </c>
    </row>
    <row r="599" spans="2:6" x14ac:dyDescent="0.3">
      <c r="B599" s="337">
        <v>59.5</v>
      </c>
      <c r="C599" s="338">
        <v>18.766935840045345</v>
      </c>
      <c r="D599" s="384">
        <f t="shared" si="53"/>
        <v>5.3285203750000336E-2</v>
      </c>
      <c r="E599" s="338">
        <v>1.9771056617138856</v>
      </c>
      <c r="F599" s="384">
        <f t="shared" si="52"/>
        <v>0.5057898621023289</v>
      </c>
    </row>
    <row r="600" spans="2:6" x14ac:dyDescent="0.3">
      <c r="B600" s="337">
        <v>59.6</v>
      </c>
      <c r="C600" s="338">
        <v>18.725883963966314</v>
      </c>
      <c r="D600" s="384">
        <f t="shared" si="53"/>
        <v>5.340201840000032E-2</v>
      </c>
      <c r="E600" s="338">
        <v>1.9724639571512785</v>
      </c>
      <c r="F600" s="384">
        <f t="shared" si="52"/>
        <v>0.5069801130583117</v>
      </c>
    </row>
    <row r="601" spans="2:6" x14ac:dyDescent="0.3">
      <c r="B601" s="337">
        <v>59.7</v>
      </c>
      <c r="C601" s="338">
        <v>18.684811489595401</v>
      </c>
      <c r="D601" s="384">
        <f t="shared" si="53"/>
        <v>5.3519405350000347E-2</v>
      </c>
      <c r="E601" s="338">
        <v>1.9678361421210535</v>
      </c>
      <c r="F601" s="384">
        <f t="shared" si="52"/>
        <v>0.50817239230200295</v>
      </c>
    </row>
    <row r="602" spans="2:6" x14ac:dyDescent="0.3">
      <c r="B602" s="337">
        <v>59.8</v>
      </c>
      <c r="C602" s="338">
        <v>18.643719866877905</v>
      </c>
      <c r="D602" s="384">
        <f t="shared" si="53"/>
        <v>5.3637364600000341E-2</v>
      </c>
      <c r="E602" s="338">
        <v>1.9632221888107668</v>
      </c>
      <c r="F602" s="384">
        <f t="shared" si="52"/>
        <v>0.50936669608739282</v>
      </c>
    </row>
    <row r="603" spans="2:6" x14ac:dyDescent="0.3">
      <c r="B603" s="337">
        <v>59.9</v>
      </c>
      <c r="C603" s="338">
        <v>18.602610534286367</v>
      </c>
      <c r="D603" s="384">
        <f t="shared" si="53"/>
        <v>5.3755896150000329E-2</v>
      </c>
      <c r="E603" s="338">
        <v>1.9586220691108789</v>
      </c>
      <c r="F603" s="384">
        <f t="shared" si="52"/>
        <v>0.51056302069237502</v>
      </c>
    </row>
    <row r="604" spans="2:6" x14ac:dyDescent="0.3">
      <c r="B604" s="337">
        <v>60</v>
      </c>
      <c r="C604" s="338">
        <v>18.561484918793386</v>
      </c>
      <c r="D604" s="384">
        <f t="shared" si="53"/>
        <v>5.3875000000000339E-2</v>
      </c>
      <c r="E604" s="338">
        <v>1.9540357546220131</v>
      </c>
      <c r="F604" s="384">
        <f t="shared" si="52"/>
        <v>0.51176136241859049</v>
      </c>
    </row>
    <row r="605" spans="2:6" x14ac:dyDescent="0.3">
      <c r="B605" s="331">
        <v>60.1</v>
      </c>
      <c r="C605" s="332">
        <v>18.520344435846749</v>
      </c>
      <c r="D605" s="385">
        <f t="shared" si="53"/>
        <v>5.3994676150000018E-2</v>
      </c>
      <c r="E605" s="332">
        <v>1.9494632166621537</v>
      </c>
      <c r="F605" s="385">
        <f t="shared" si="52"/>
        <v>0.51296171759125953</v>
      </c>
    </row>
    <row r="606" spans="2:6" x14ac:dyDescent="0.3">
      <c r="B606" s="331">
        <v>60.2</v>
      </c>
      <c r="C606" s="332">
        <v>18.479190489346074</v>
      </c>
      <c r="D606" s="385">
        <f t="shared" si="53"/>
        <v>5.4114924600000003E-2</v>
      </c>
      <c r="E606" s="332">
        <v>1.9449044262736439</v>
      </c>
      <c r="F606" s="385">
        <f t="shared" si="52"/>
        <v>0.51416408255903789</v>
      </c>
    </row>
    <row r="607" spans="2:6" x14ac:dyDescent="0.3">
      <c r="B607" s="331">
        <v>60.3</v>
      </c>
      <c r="C607" s="332">
        <v>18.438024471622754</v>
      </c>
      <c r="D607" s="385">
        <f t="shared" si="53"/>
        <v>5.4235745350000003E-2</v>
      </c>
      <c r="E607" s="332">
        <v>1.9403593542302395</v>
      </c>
      <c r="F607" s="385">
        <f t="shared" si="52"/>
        <v>0.51536845369383155</v>
      </c>
    </row>
    <row r="608" spans="2:6" x14ac:dyDescent="0.3">
      <c r="B608" s="331">
        <v>60.4</v>
      </c>
      <c r="C608" s="332">
        <v>18.39684776342089</v>
      </c>
      <c r="D608" s="385">
        <f t="shared" si="53"/>
        <v>5.4357138400000012E-2</v>
      </c>
      <c r="E608" s="332">
        <v>1.9358279710438246</v>
      </c>
      <c r="F608" s="385">
        <f t="shared" si="52"/>
        <v>0.51657482739067273</v>
      </c>
    </row>
    <row r="609" spans="2:6" x14ac:dyDescent="0.3">
      <c r="B609" s="331">
        <v>60.5</v>
      </c>
      <c r="C609" s="332">
        <v>18.355661733880854</v>
      </c>
      <c r="D609" s="385">
        <f t="shared" si="53"/>
        <v>5.4479103750000001E-2</v>
      </c>
      <c r="E609" s="332">
        <v>1.9313102469712149</v>
      </c>
      <c r="F609" s="385">
        <f t="shared" si="52"/>
        <v>0.51778320006754697</v>
      </c>
    </row>
    <row r="610" spans="2:6" x14ac:dyDescent="0.3">
      <c r="B610" s="331">
        <v>60.6</v>
      </c>
      <c r="C610" s="332">
        <v>18.31446774052473</v>
      </c>
      <c r="D610" s="385">
        <f t="shared" si="53"/>
        <v>5.4601641400000026E-2</v>
      </c>
      <c r="E610" s="332">
        <v>1.9268061520207596</v>
      </c>
      <c r="F610" s="385">
        <f t="shared" si="52"/>
        <v>0.51899356816524522</v>
      </c>
    </row>
    <row r="611" spans="2:6" x14ac:dyDescent="0.3">
      <c r="B611" s="331">
        <v>60.7</v>
      </c>
      <c r="C611" s="332">
        <v>18.273267129243884</v>
      </c>
      <c r="D611" s="385">
        <f t="shared" si="53"/>
        <v>5.472475135000001E-2</v>
      </c>
      <c r="E611" s="332">
        <v>1.9223156559588759</v>
      </c>
      <c r="F611" s="385">
        <f t="shared" si="52"/>
        <v>0.52020592814721012</v>
      </c>
    </row>
    <row r="612" spans="2:6" x14ac:dyDescent="0.3">
      <c r="B612" s="331">
        <v>60.8</v>
      </c>
      <c r="C612" s="332">
        <v>18.232061234288377</v>
      </c>
      <c r="D612" s="385">
        <f t="shared" si="53"/>
        <v>5.4848433599999996E-2</v>
      </c>
      <c r="E612" s="332">
        <v>1.9178387283164595</v>
      </c>
      <c r="F612" s="385">
        <f t="shared" si="52"/>
        <v>0.52142027649938649</v>
      </c>
    </row>
    <row r="613" spans="2:6" x14ac:dyDescent="0.3">
      <c r="B613" s="331">
        <v>60.9</v>
      </c>
      <c r="C613" s="332">
        <v>18.190851378258451</v>
      </c>
      <c r="D613" s="385">
        <f t="shared" si="53"/>
        <v>5.4972688150000025E-2</v>
      </c>
      <c r="E613" s="332">
        <v>1.9133753383951804</v>
      </c>
      <c r="F613" s="385">
        <f t="shared" si="52"/>
        <v>0.52263660973007919</v>
      </c>
    </row>
    <row r="614" spans="2:6" x14ac:dyDescent="0.3">
      <c r="B614" s="331">
        <v>61</v>
      </c>
      <c r="C614" s="332">
        <v>18.149638872097945</v>
      </c>
      <c r="D614" s="385">
        <f t="shared" si="53"/>
        <v>5.5097515000000021E-2</v>
      </c>
      <c r="E614" s="332">
        <v>1.9089254552737576</v>
      </c>
      <c r="F614" s="385">
        <f t="shared" si="52"/>
        <v>0.52385492436978931</v>
      </c>
    </row>
    <row r="615" spans="2:6" x14ac:dyDescent="0.3">
      <c r="B615" s="337">
        <v>61.1</v>
      </c>
      <c r="C615" s="338">
        <v>18.108425015089495</v>
      </c>
      <c r="D615" s="384">
        <f t="shared" si="53"/>
        <v>5.5222914150000024E-2</v>
      </c>
      <c r="E615" s="338">
        <v>1.9044890478140306</v>
      </c>
      <c r="F615" s="384">
        <f t="shared" si="52"/>
        <v>0.52507521697108117</v>
      </c>
    </row>
    <row r="616" spans="2:6" x14ac:dyDescent="0.3">
      <c r="B616" s="337">
        <v>61.2</v>
      </c>
      <c r="C616" s="338">
        <v>18.067211094851739</v>
      </c>
      <c r="D616" s="384">
        <f t="shared" si="53"/>
        <v>5.5348885600000015E-2</v>
      </c>
      <c r="E616" s="338">
        <v>1.9000660846669815</v>
      </c>
      <c r="F616" s="384">
        <f t="shared" si="52"/>
        <v>0.52629748410843658</v>
      </c>
    </row>
    <row r="617" spans="2:6" x14ac:dyDescent="0.3">
      <c r="B617" s="337">
        <v>61.3</v>
      </c>
      <c r="C617" s="338">
        <v>18.025998387338298</v>
      </c>
      <c r="D617" s="384">
        <f t="shared" si="53"/>
        <v>5.5475429350000015E-2</v>
      </c>
      <c r="E617" s="338">
        <v>1.8956565342787095</v>
      </c>
      <c r="F617" s="384">
        <f t="shared" si="52"/>
        <v>0.52752172237809758</v>
      </c>
    </row>
    <row r="618" spans="2:6" x14ac:dyDescent="0.3">
      <c r="B618" s="337">
        <v>61.4</v>
      </c>
      <c r="C618" s="338">
        <v>17.984788156838583</v>
      </c>
      <c r="D618" s="384">
        <f t="shared" si="53"/>
        <v>5.5602545400000022E-2</v>
      </c>
      <c r="E618" s="338">
        <v>1.8912603648961976</v>
      </c>
      <c r="F618" s="384">
        <f t="shared" si="52"/>
        <v>0.52874792839794182</v>
      </c>
    </row>
    <row r="619" spans="2:6" x14ac:dyDescent="0.3">
      <c r="B619" s="337">
        <v>61.5</v>
      </c>
      <c r="C619" s="338">
        <v>17.943581655980395</v>
      </c>
      <c r="D619" s="384">
        <f t="shared" si="53"/>
        <v>5.5730233750000024E-2</v>
      </c>
      <c r="E619" s="338">
        <v>1.8868775445731074</v>
      </c>
      <c r="F619" s="384">
        <f t="shared" si="52"/>
        <v>0.52997609880732499</v>
      </c>
    </row>
    <row r="620" spans="2:6" x14ac:dyDescent="0.3">
      <c r="B620" s="337">
        <v>61.6</v>
      </c>
      <c r="C620" s="338">
        <v>17.902380125734275</v>
      </c>
      <c r="D620" s="384">
        <f t="shared" si="53"/>
        <v>5.5858494400000035E-2</v>
      </c>
      <c r="E620" s="338">
        <v>1.8825080411753932</v>
      </c>
      <c r="F620" s="384">
        <f t="shared" si="52"/>
        <v>0.53120623026694958</v>
      </c>
    </row>
    <row r="621" spans="2:6" x14ac:dyDescent="0.3">
      <c r="B621" s="337">
        <v>61.7</v>
      </c>
      <c r="C621" s="338">
        <v>17.861184795419593</v>
      </c>
      <c r="D621" s="384">
        <f t="shared" si="53"/>
        <v>5.5987327350000025E-2</v>
      </c>
      <c r="E621" s="338">
        <v>1.8781518223868692</v>
      </c>
      <c r="F621" s="384">
        <f t="shared" si="52"/>
        <v>0.53243831945872155</v>
      </c>
    </row>
    <row r="622" spans="2:6" x14ac:dyDescent="0.3">
      <c r="B622" s="337">
        <v>61.8</v>
      </c>
      <c r="C622" s="338">
        <v>17.819996882712289</v>
      </c>
      <c r="D622" s="384">
        <f t="shared" si="53"/>
        <v>5.6116732600000052E-2</v>
      </c>
      <c r="E622" s="338">
        <v>1.8738088557146639</v>
      </c>
      <c r="F622" s="384">
        <f t="shared" si="52"/>
        <v>0.53367236308561661</v>
      </c>
    </row>
    <row r="623" spans="2:6" x14ac:dyDescent="0.3">
      <c r="B623" s="337">
        <v>61.9</v>
      </c>
      <c r="C623" s="338">
        <v>17.778817593654395</v>
      </c>
      <c r="D623" s="384">
        <f t="shared" si="53"/>
        <v>5.6246710150000045E-2</v>
      </c>
      <c r="E623" s="338">
        <v>1.8694791084946212</v>
      </c>
      <c r="F623" s="384">
        <f t="shared" si="52"/>
        <v>0.53490835787153557</v>
      </c>
    </row>
    <row r="624" spans="2:6" x14ac:dyDescent="0.3">
      <c r="B624" s="337">
        <v>62</v>
      </c>
      <c r="C624" s="338">
        <v>17.73764812266505</v>
      </c>
      <c r="D624" s="384">
        <f t="shared" si="53"/>
        <v>5.6377260000000033E-2</v>
      </c>
      <c r="E624" s="338">
        <v>1.8651625478965665</v>
      </c>
      <c r="F624" s="384">
        <f t="shared" si="52"/>
        <v>0.53614630056117529</v>
      </c>
    </row>
    <row r="625" spans="2:6" x14ac:dyDescent="0.3">
      <c r="B625" s="331">
        <v>62.1</v>
      </c>
      <c r="C625" s="332">
        <v>17.69648965255324</v>
      </c>
      <c r="D625" s="385">
        <f t="shared" si="53"/>
        <v>5.6508382150000043E-2</v>
      </c>
      <c r="E625" s="332">
        <v>1.8608591409295365</v>
      </c>
      <c r="F625" s="385">
        <f t="shared" si="52"/>
        <v>0.53738618791988735</v>
      </c>
    </row>
    <row r="626" spans="2:6" x14ac:dyDescent="0.3">
      <c r="B626" s="331">
        <v>62.2</v>
      </c>
      <c r="C626" s="332">
        <v>17.655343354532107</v>
      </c>
      <c r="D626" s="385">
        <f t="shared" si="53"/>
        <v>5.6640076600000026E-2</v>
      </c>
      <c r="E626" s="332">
        <v>1.8565688544468484</v>
      </c>
      <c r="F626" s="385">
        <f t="shared" si="52"/>
        <v>0.5386280167335582</v>
      </c>
    </row>
    <row r="627" spans="2:6" x14ac:dyDescent="0.3">
      <c r="B627" s="331">
        <v>62.3</v>
      </c>
      <c r="C627" s="332">
        <v>17.614210388234731</v>
      </c>
      <c r="D627" s="385">
        <f t="shared" si="53"/>
        <v>5.677234335000006E-2</v>
      </c>
      <c r="E627" s="332">
        <v>1.8522916551512174</v>
      </c>
      <c r="F627" s="385">
        <f t="shared" si="52"/>
        <v>0.53987178380845324</v>
      </c>
    </row>
    <row r="628" spans="2:6" x14ac:dyDescent="0.3">
      <c r="B628" s="331">
        <v>62.4</v>
      </c>
      <c r="C628" s="332">
        <v>17.573091901731594</v>
      </c>
      <c r="D628" s="385">
        <f t="shared" si="53"/>
        <v>5.6905182400000046E-2</v>
      </c>
      <c r="E628" s="332">
        <v>1.848027509599627</v>
      </c>
      <c r="F628" s="385">
        <f t="shared" si="52"/>
        <v>0.5411174859711092</v>
      </c>
    </row>
    <row r="629" spans="2:6" x14ac:dyDescent="0.3">
      <c r="B629" s="331">
        <v>62.5</v>
      </c>
      <c r="C629" s="332">
        <v>17.531989031549347</v>
      </c>
      <c r="D629" s="385">
        <f t="shared" si="53"/>
        <v>5.7038593750000047E-2</v>
      </c>
      <c r="E629" s="332">
        <v>1.8437763842082542</v>
      </c>
      <c r="F629" s="385">
        <f t="shared" si="52"/>
        <v>0.54236512006818838</v>
      </c>
    </row>
    <row r="630" spans="2:6" x14ac:dyDescent="0.3">
      <c r="B630" s="331">
        <v>62.6</v>
      </c>
      <c r="C630" s="332">
        <v>17.490902902691229</v>
      </c>
      <c r="D630" s="385">
        <f t="shared" si="53"/>
        <v>5.7172577400000063E-2</v>
      </c>
      <c r="E630" s="332">
        <v>1.8395382452572269</v>
      </c>
      <c r="F630" s="385">
        <f t="shared" si="52"/>
        <v>0.54361468296635918</v>
      </c>
    </row>
    <row r="631" spans="2:6" x14ac:dyDescent="0.3">
      <c r="B631" s="331">
        <v>62.7</v>
      </c>
      <c r="C631" s="332">
        <v>17.449834628658824</v>
      </c>
      <c r="D631" s="385">
        <f t="shared" si="53"/>
        <v>5.730713335000006E-2</v>
      </c>
      <c r="E631" s="332">
        <v>1.8353130588953652</v>
      </c>
      <c r="F631" s="385">
        <f t="shared" si="52"/>
        <v>0.54486617155215911</v>
      </c>
    </row>
    <row r="632" spans="2:6" x14ac:dyDescent="0.3">
      <c r="B632" s="331">
        <v>62.8</v>
      </c>
      <c r="C632" s="332">
        <v>17.408785311475253</v>
      </c>
      <c r="D632" s="385">
        <f t="shared" si="53"/>
        <v>5.7442261600000058E-2</v>
      </c>
      <c r="E632" s="332">
        <v>1.8311007911448027</v>
      </c>
      <c r="F632" s="385">
        <f t="shared" si="52"/>
        <v>0.54611958273187178</v>
      </c>
    </row>
    <row r="633" spans="2:6" x14ac:dyDescent="0.3">
      <c r="B633" s="331">
        <v>62.9</v>
      </c>
      <c r="C633" s="332">
        <v>17.367756041709768</v>
      </c>
      <c r="D633" s="385">
        <f t="shared" si="53"/>
        <v>5.7577962150000064E-2</v>
      </c>
      <c r="E633" s="332">
        <v>1.8269014079055292</v>
      </c>
      <c r="F633" s="385">
        <f t="shared" si="52"/>
        <v>0.54737491343140443</v>
      </c>
    </row>
    <row r="634" spans="2:6" x14ac:dyDescent="0.3">
      <c r="B634" s="331">
        <v>63</v>
      </c>
      <c r="C634" s="332">
        <v>17.326747898503708</v>
      </c>
      <c r="D634" s="385">
        <f t="shared" si="53"/>
        <v>5.7714235000000051E-2</v>
      </c>
      <c r="E634" s="332">
        <v>1.8227148749598896</v>
      </c>
      <c r="F634" s="385">
        <f t="shared" si="52"/>
        <v>0.54863216059615794</v>
      </c>
    </row>
    <row r="635" spans="2:6" x14ac:dyDescent="0.3">
      <c r="B635" s="337">
        <v>63.1</v>
      </c>
      <c r="C635" s="338">
        <v>17.285761949597735</v>
      </c>
      <c r="D635" s="384">
        <f t="shared" si="53"/>
        <v>5.7851080150000067E-2</v>
      </c>
      <c r="E635" s="338">
        <v>1.8185411579769883</v>
      </c>
      <c r="F635" s="384">
        <f t="shared" si="52"/>
        <v>0.54989132119090256</v>
      </c>
    </row>
    <row r="636" spans="2:6" x14ac:dyDescent="0.3">
      <c r="B636" s="337">
        <v>63.2</v>
      </c>
      <c r="C636" s="338">
        <v>17.24479925136048</v>
      </c>
      <c r="D636" s="384">
        <f t="shared" si="53"/>
        <v>5.7988497600000063E-2</v>
      </c>
      <c r="E636" s="338">
        <v>1.8143802225170249</v>
      </c>
      <c r="F636" s="384">
        <f t="shared" si="52"/>
        <v>0.55115239219965462</v>
      </c>
    </row>
    <row r="637" spans="2:6" x14ac:dyDescent="0.3">
      <c r="B637" s="337">
        <v>63.3</v>
      </c>
      <c r="C637" s="338">
        <v>17.203860848818326</v>
      </c>
      <c r="D637" s="384">
        <f t="shared" si="53"/>
        <v>5.8126487350000075E-2</v>
      </c>
      <c r="E637" s="338">
        <v>1.8102320340355158</v>
      </c>
      <c r="F637" s="384">
        <f t="shared" si="52"/>
        <v>0.55241537062556512</v>
      </c>
    </row>
    <row r="638" spans="2:6" x14ac:dyDescent="0.3">
      <c r="B638" s="337">
        <v>63.4</v>
      </c>
      <c r="C638" s="338">
        <v>17.162947775686582</v>
      </c>
      <c r="D638" s="384">
        <f t="shared" si="53"/>
        <v>5.8265049400000067E-2</v>
      </c>
      <c r="E638" s="338">
        <v>1.8060965578875461</v>
      </c>
      <c r="F638" s="384">
        <f t="shared" si="52"/>
        <v>0.5536802534907791</v>
      </c>
    </row>
    <row r="639" spans="2:6" x14ac:dyDescent="0.3">
      <c r="B639" s="337">
        <v>63.5</v>
      </c>
      <c r="C639" s="338">
        <v>17.122061054401758</v>
      </c>
      <c r="D639" s="384">
        <f t="shared" si="53"/>
        <v>5.8404183750000054E-2</v>
      </c>
      <c r="E639" s="338">
        <v>1.8019737593318164</v>
      </c>
      <c r="F639" s="384">
        <f t="shared" si="52"/>
        <v>0.55494703783633703</v>
      </c>
    </row>
    <row r="640" spans="2:6" x14ac:dyDescent="0.3">
      <c r="B640" s="337">
        <v>63.6</v>
      </c>
      <c r="C640" s="338">
        <v>17.081201696155105</v>
      </c>
      <c r="D640" s="384">
        <f t="shared" si="53"/>
        <v>5.8543890400000083E-2</v>
      </c>
      <c r="E640" s="338">
        <v>1.7978636035347466</v>
      </c>
      <c r="F640" s="384">
        <f t="shared" si="52"/>
        <v>0.55621572072203829</v>
      </c>
    </row>
    <row r="641" spans="2:6" x14ac:dyDescent="0.3">
      <c r="B641" s="337">
        <v>63.7</v>
      </c>
      <c r="C641" s="338">
        <v>17.040370700927348</v>
      </c>
      <c r="D641" s="384">
        <f t="shared" si="53"/>
        <v>5.8684169350000079E-2</v>
      </c>
      <c r="E641" s="338">
        <v>1.7937660555744259</v>
      </c>
      <c r="F641" s="384">
        <f t="shared" si="52"/>
        <v>0.55748629922633108</v>
      </c>
    </row>
    <row r="642" spans="2:6" x14ac:dyDescent="0.3">
      <c r="B642" s="337">
        <v>63.8</v>
      </c>
      <c r="C642" s="338">
        <v>16.999569057524454</v>
      </c>
      <c r="D642" s="384">
        <f t="shared" si="53"/>
        <v>5.8825020600000083E-2</v>
      </c>
      <c r="E642" s="338">
        <v>1.78968108044451</v>
      </c>
      <c r="F642" s="384">
        <f t="shared" si="52"/>
        <v>0.55875877044619937</v>
      </c>
    </row>
    <row r="643" spans="2:6" x14ac:dyDescent="0.3">
      <c r="B643" s="337">
        <v>63.9</v>
      </c>
      <c r="C643" s="338">
        <v>16.958797743614642</v>
      </c>
      <c r="D643" s="384">
        <f t="shared" si="53"/>
        <v>5.8966444150000068E-2</v>
      </c>
      <c r="E643" s="338">
        <v>1.7856086430580924</v>
      </c>
      <c r="F643" s="384">
        <f t="shared" si="52"/>
        <v>0.56003313149703782</v>
      </c>
    </row>
    <row r="644" spans="2:6" x14ac:dyDescent="0.3">
      <c r="B644" s="337">
        <v>64</v>
      </c>
      <c r="C644" s="338">
        <v>16.918057725766374</v>
      </c>
      <c r="D644" s="384">
        <f t="shared" si="53"/>
        <v>5.9108440000000109E-2</v>
      </c>
      <c r="E644" s="338">
        <v>1.7815487082514729</v>
      </c>
      <c r="F644" s="384">
        <f t="shared" si="52"/>
        <v>0.56130937951253923</v>
      </c>
    </row>
    <row r="645" spans="2:6" x14ac:dyDescent="0.3">
      <c r="B645" s="331">
        <v>64.099999999999994</v>
      </c>
      <c r="C645" s="332">
        <v>16.87734995948755</v>
      </c>
      <c r="D645" s="385">
        <f t="shared" si="53"/>
        <v>5.9251008150000062E-2</v>
      </c>
      <c r="E645" s="332">
        <v>1.7775012407878381</v>
      </c>
      <c r="F645" s="385">
        <f t="shared" ref="F645:F708" si="54">1/E645</f>
        <v>0.56258751164458942</v>
      </c>
    </row>
    <row r="646" spans="2:6" x14ac:dyDescent="0.3">
      <c r="B646" s="331">
        <v>64.2</v>
      </c>
      <c r="C646" s="332">
        <v>16.836675389265519</v>
      </c>
      <c r="D646" s="385">
        <f t="shared" ref="D646:D709" si="55">1/C646</f>
        <v>5.9394148600000057E-2</v>
      </c>
      <c r="E646" s="332">
        <v>1.7734662053609693</v>
      </c>
      <c r="F646" s="385">
        <f t="shared" si="54"/>
        <v>0.56386752506313542</v>
      </c>
    </row>
    <row r="647" spans="2:6" x14ac:dyDescent="0.3">
      <c r="B647" s="331">
        <v>64.3</v>
      </c>
      <c r="C647" s="332">
        <v>16.796034948608362</v>
      </c>
      <c r="D647" s="385">
        <f t="shared" si="55"/>
        <v>5.9537861350000054E-2</v>
      </c>
      <c r="E647" s="332">
        <v>1.7694435665987613</v>
      </c>
      <c r="F647" s="385">
        <f t="shared" si="54"/>
        <v>0.56514941695609322</v>
      </c>
    </row>
    <row r="648" spans="2:6" x14ac:dyDescent="0.3">
      <c r="B648" s="331">
        <v>64.400000000000006</v>
      </c>
      <c r="C648" s="332">
        <v>16.755429560086991</v>
      </c>
      <c r="D648" s="385">
        <f t="shared" si="55"/>
        <v>5.9682146400000032E-2</v>
      </c>
      <c r="E648" s="332">
        <v>1.7654332890667896</v>
      </c>
      <c r="F648" s="385">
        <f t="shared" si="54"/>
        <v>0.56643318452922187</v>
      </c>
    </row>
    <row r="649" spans="2:6" x14ac:dyDescent="0.3">
      <c r="B649" s="331">
        <v>64.5</v>
      </c>
      <c r="C649" s="332">
        <v>16.714860135378242</v>
      </c>
      <c r="D649" s="385">
        <f t="shared" si="55"/>
        <v>5.9827003750000024E-2</v>
      </c>
      <c r="E649" s="332">
        <v>1.7614353372717444</v>
      </c>
      <c r="F649" s="385">
        <f t="shared" si="54"/>
        <v>0.56771882500602155</v>
      </c>
    </row>
    <row r="650" spans="2:6" x14ac:dyDescent="0.3">
      <c r="B650" s="331">
        <v>64.599999999999994</v>
      </c>
      <c r="C650" s="332">
        <v>16.674327575308954</v>
      </c>
      <c r="D650" s="385">
        <f t="shared" si="55"/>
        <v>5.9972433400000018E-2</v>
      </c>
      <c r="E650" s="332">
        <v>1.7574496756648534</v>
      </c>
      <c r="F650" s="385">
        <f t="shared" si="54"/>
        <v>0.56900633562761571</v>
      </c>
    </row>
    <row r="651" spans="2:6" x14ac:dyDescent="0.3">
      <c r="B651" s="331">
        <v>64.7</v>
      </c>
      <c r="C651" s="332">
        <v>16.63383276990092</v>
      </c>
      <c r="D651" s="385">
        <f t="shared" si="55"/>
        <v>6.0118435350000006E-2</v>
      </c>
      <c r="E651" s="332">
        <v>1.7534762686452019</v>
      </c>
      <c r="F651" s="385">
        <f t="shared" si="54"/>
        <v>0.57029571365264931</v>
      </c>
    </row>
    <row r="652" spans="2:6" x14ac:dyDescent="0.3">
      <c r="B652" s="331">
        <v>64.8</v>
      </c>
      <c r="C652" s="332">
        <v>16.593376598416732</v>
      </c>
      <c r="D652" s="385">
        <f t="shared" si="55"/>
        <v>6.0265009600000016E-2</v>
      </c>
      <c r="E652" s="332">
        <v>1.7495150805630091</v>
      </c>
      <c r="F652" s="385">
        <f t="shared" si="54"/>
        <v>0.57158695635718171</v>
      </c>
    </row>
    <row r="653" spans="2:6" x14ac:dyDescent="0.3">
      <c r="B653" s="331">
        <v>64.900000000000006</v>
      </c>
      <c r="C653" s="332">
        <v>16.552959929406523</v>
      </c>
      <c r="D653" s="385">
        <f t="shared" si="55"/>
        <v>6.0412156150000007E-2</v>
      </c>
      <c r="E653" s="332">
        <v>1.7455660757228812</v>
      </c>
      <c r="F653" s="385">
        <f t="shared" si="54"/>
        <v>0.57288006103457056</v>
      </c>
    </row>
    <row r="654" spans="2:6" x14ac:dyDescent="0.3">
      <c r="B654" s="331">
        <v>65</v>
      </c>
      <c r="C654" s="332">
        <v>16.512583620755496</v>
      </c>
      <c r="D654" s="385">
        <f t="shared" si="55"/>
        <v>6.0559874999999985E-2</v>
      </c>
      <c r="E654" s="332">
        <v>1.7416292183869462</v>
      </c>
      <c r="F654" s="385">
        <f t="shared" si="54"/>
        <v>0.57417502499537487</v>
      </c>
    </row>
    <row r="655" spans="2:6" x14ac:dyDescent="0.3">
      <c r="B655" s="337">
        <v>65.099999999999994</v>
      </c>
      <c r="C655" s="338">
        <v>16.4722485197323</v>
      </c>
      <c r="D655" s="384">
        <f t="shared" si="55"/>
        <v>6.0708166149999999E-2</v>
      </c>
      <c r="E655" s="338">
        <v>1.7377044727779818</v>
      </c>
      <c r="F655" s="384">
        <f t="shared" si="54"/>
        <v>0.57547184556724407</v>
      </c>
    </row>
    <row r="656" spans="2:6" x14ac:dyDescent="0.3">
      <c r="B656" s="337">
        <v>65.2</v>
      </c>
      <c r="C656" s="338">
        <v>16.43195546303825</v>
      </c>
      <c r="D656" s="384">
        <f t="shared" si="55"/>
        <v>6.0857029599999973E-2</v>
      </c>
      <c r="E656" s="338">
        <v>1.7337918030824599</v>
      </c>
      <c r="F656" s="384">
        <f t="shared" si="54"/>
        <v>0.57677052009481644</v>
      </c>
    </row>
    <row r="657" spans="2:6" x14ac:dyDescent="0.3">
      <c r="B657" s="337">
        <v>65.3</v>
      </c>
      <c r="C657" s="338">
        <v>16.391705276857195</v>
      </c>
      <c r="D657" s="384">
        <f t="shared" si="55"/>
        <v>6.1006465349999962E-2</v>
      </c>
      <c r="E657" s="338">
        <v>1.7298911734535434</v>
      </c>
      <c r="F657" s="384">
        <f t="shared" si="54"/>
        <v>0.57807104593961633</v>
      </c>
    </row>
    <row r="658" spans="2:6" x14ac:dyDescent="0.3">
      <c r="B658" s="337">
        <v>65.400000000000006</v>
      </c>
      <c r="C658" s="338">
        <v>16.351498776906265</v>
      </c>
      <c r="D658" s="384">
        <f t="shared" si="55"/>
        <v>6.1156473399999967E-2</v>
      </c>
      <c r="E658" s="338">
        <v>1.7260025480140491</v>
      </c>
      <c r="F658" s="384">
        <f t="shared" si="54"/>
        <v>0.57937342047994489</v>
      </c>
    </row>
    <row r="659" spans="2:6" x14ac:dyDescent="0.3">
      <c r="B659" s="337">
        <v>65.5</v>
      </c>
      <c r="C659" s="338">
        <v>16.311336768487273</v>
      </c>
      <c r="D659" s="384">
        <f t="shared" si="55"/>
        <v>6.1307053749999965E-2</v>
      </c>
      <c r="E659" s="338">
        <v>1.7221258908593142</v>
      </c>
      <c r="F659" s="384">
        <f t="shared" si="54"/>
        <v>0.58067764111078746</v>
      </c>
    </row>
    <row r="660" spans="2:6" x14ac:dyDescent="0.3">
      <c r="B660" s="337">
        <v>65.599999999999994</v>
      </c>
      <c r="C660" s="338">
        <v>16.271220046538829</v>
      </c>
      <c r="D660" s="384">
        <f t="shared" si="55"/>
        <v>6.1458206399999937E-2</v>
      </c>
      <c r="E660" s="338">
        <v>1.7182611660600648</v>
      </c>
      <c r="F660" s="384">
        <f t="shared" si="54"/>
        <v>0.58198370524370169</v>
      </c>
    </row>
    <row r="661" spans="2:6" x14ac:dyDescent="0.3">
      <c r="B661" s="337">
        <v>65.7</v>
      </c>
      <c r="C661" s="338">
        <v>16.23114939568913</v>
      </c>
      <c r="D661" s="384">
        <f t="shared" si="55"/>
        <v>6.1609931349999925E-2</v>
      </c>
      <c r="E661" s="338">
        <v>1.7144083376651753</v>
      </c>
      <c r="F661" s="384">
        <f t="shared" si="54"/>
        <v>0.58329161030672749</v>
      </c>
    </row>
    <row r="662" spans="2:6" x14ac:dyDescent="0.3">
      <c r="B662" s="337">
        <v>65.8</v>
      </c>
      <c r="C662" s="338">
        <v>16.191125590309433</v>
      </c>
      <c r="D662" s="384">
        <f t="shared" si="55"/>
        <v>6.1762228599999927E-2</v>
      </c>
      <c r="E662" s="338">
        <v>1.710567369704423</v>
      </c>
      <c r="F662" s="384">
        <f t="shared" si="54"/>
        <v>0.58460135374428113</v>
      </c>
    </row>
    <row r="663" spans="2:6" x14ac:dyDescent="0.3">
      <c r="B663" s="337">
        <v>65.900000000000006</v>
      </c>
      <c r="C663" s="338">
        <v>16.151149394568169</v>
      </c>
      <c r="D663" s="384">
        <f t="shared" si="55"/>
        <v>6.1915098149999924E-2</v>
      </c>
      <c r="E663" s="338">
        <v>1.7067382261911781</v>
      </c>
      <c r="F663" s="384">
        <f t="shared" si="54"/>
        <v>0.5859129330170556</v>
      </c>
    </row>
    <row r="664" spans="2:6" x14ac:dyDescent="0.3">
      <c r="B664" s="337">
        <v>66</v>
      </c>
      <c r="C664" s="338">
        <v>16.111221562485618</v>
      </c>
      <c r="D664" s="384">
        <f t="shared" si="55"/>
        <v>6.2068539999999936E-2</v>
      </c>
      <c r="E664" s="338">
        <v>1.7029208711250214</v>
      </c>
      <c r="F664" s="384">
        <f t="shared" si="54"/>
        <v>0.5872263456019291</v>
      </c>
    </row>
    <row r="665" spans="2:6" x14ac:dyDescent="0.3">
      <c r="B665" s="331">
        <v>66.099999999999994</v>
      </c>
      <c r="C665" s="332">
        <v>16.07134283798926</v>
      </c>
      <c r="D665" s="385">
        <f t="shared" si="55"/>
        <v>6.2222554149999915E-2</v>
      </c>
      <c r="E665" s="332">
        <v>1.6991152684943485</v>
      </c>
      <c r="F665" s="385">
        <f t="shared" si="54"/>
        <v>0.58854158899186315</v>
      </c>
    </row>
    <row r="666" spans="2:6" x14ac:dyDescent="0.3">
      <c r="B666" s="331">
        <v>66.2</v>
      </c>
      <c r="C666" s="332">
        <v>16.031513954969608</v>
      </c>
      <c r="D666" s="385">
        <f t="shared" si="55"/>
        <v>6.2377140599999922E-2</v>
      </c>
      <c r="E666" s="332">
        <v>1.6953213822789308</v>
      </c>
      <c r="F666" s="385">
        <f t="shared" si="54"/>
        <v>0.58985866069579851</v>
      </c>
    </row>
    <row r="667" spans="2:6" x14ac:dyDescent="0.3">
      <c r="B667" s="331">
        <v>66.3</v>
      </c>
      <c r="C667" s="332">
        <v>15.991735637336699</v>
      </c>
      <c r="D667" s="385">
        <f t="shared" si="55"/>
        <v>6.2532299349999904E-2</v>
      </c>
      <c r="E667" s="332">
        <v>1.69153917645236</v>
      </c>
      <c r="F667" s="385">
        <f t="shared" si="54"/>
        <v>0.59117755823857721</v>
      </c>
    </row>
    <row r="668" spans="2:6" x14ac:dyDescent="0.3">
      <c r="B668" s="331">
        <v>66.400000000000006</v>
      </c>
      <c r="C668" s="332">
        <v>15.952008599077026</v>
      </c>
      <c r="D668" s="385">
        <f t="shared" si="55"/>
        <v>6.2688030399999872E-2</v>
      </c>
      <c r="E668" s="332">
        <v>1.6877686149845437</v>
      </c>
      <c r="F668" s="385">
        <f t="shared" si="54"/>
        <v>0.59249827916083031</v>
      </c>
    </row>
    <row r="669" spans="2:6" x14ac:dyDescent="0.3">
      <c r="B669" s="331">
        <v>66.5</v>
      </c>
      <c r="C669" s="332">
        <v>15.912333544311014</v>
      </c>
      <c r="D669" s="385">
        <f t="shared" si="55"/>
        <v>6.2844333749999884E-2</v>
      </c>
      <c r="E669" s="332">
        <v>1.6840096618440707</v>
      </c>
      <c r="F669" s="385">
        <f t="shared" si="54"/>
        <v>0.59382082101889633</v>
      </c>
    </row>
    <row r="670" spans="2:6" x14ac:dyDescent="0.3">
      <c r="B670" s="331">
        <v>66.599999999999994</v>
      </c>
      <c r="C670" s="332">
        <v>15.872711167351053</v>
      </c>
      <c r="D670" s="385">
        <f t="shared" si="55"/>
        <v>6.3001209399999869E-2</v>
      </c>
      <c r="E670" s="332">
        <v>1.6802622810005978</v>
      </c>
      <c r="F670" s="385">
        <f t="shared" si="54"/>
        <v>0.5951451813847175</v>
      </c>
    </row>
    <row r="671" spans="2:6" x14ac:dyDescent="0.3">
      <c r="B671" s="331">
        <v>66.7</v>
      </c>
      <c r="C671" s="332">
        <v>15.833142152759878</v>
      </c>
      <c r="D671" s="385">
        <f t="shared" si="55"/>
        <v>6.3158657349999842E-2</v>
      </c>
      <c r="E671" s="332">
        <v>1.6765264364271417</v>
      </c>
      <c r="F671" s="385">
        <f t="shared" si="54"/>
        <v>0.59647135784575378</v>
      </c>
    </row>
    <row r="672" spans="2:6" x14ac:dyDescent="0.3">
      <c r="B672" s="331">
        <v>66.8</v>
      </c>
      <c r="C672" s="332">
        <v>15.793627175409506</v>
      </c>
      <c r="D672" s="385">
        <f t="shared" si="55"/>
        <v>6.3316677599999857E-2</v>
      </c>
      <c r="E672" s="332">
        <v>1.6728020921023508</v>
      </c>
      <c r="F672" s="385">
        <f t="shared" si="54"/>
        <v>0.59779934800488921</v>
      </c>
    </row>
    <row r="673" spans="2:6" x14ac:dyDescent="0.3">
      <c r="B673" s="331">
        <v>66.900000000000006</v>
      </c>
      <c r="C673" s="332">
        <v>15.754166900540598</v>
      </c>
      <c r="D673" s="385">
        <f t="shared" si="55"/>
        <v>6.3475270149999832E-2</v>
      </c>
      <c r="E673" s="332">
        <v>1.6690892120127421</v>
      </c>
      <c r="F673" s="385">
        <f t="shared" si="54"/>
        <v>0.59912914948033702</v>
      </c>
    </row>
    <row r="674" spans="2:6" x14ac:dyDescent="0.3">
      <c r="B674" s="331">
        <v>67</v>
      </c>
      <c r="C674" s="332">
        <v>15.714761983822166</v>
      </c>
      <c r="D674" s="385">
        <f t="shared" si="55"/>
        <v>6.3634434999999823E-2</v>
      </c>
      <c r="E674" s="332">
        <v>1.6653877601548626</v>
      </c>
      <c r="F674" s="385">
        <f t="shared" si="54"/>
        <v>0.60046075990555559</v>
      </c>
    </row>
    <row r="675" spans="2:6" x14ac:dyDescent="0.3">
      <c r="B675" s="337">
        <v>67.099999999999994</v>
      </c>
      <c r="C675" s="338">
        <v>15.675413071411768</v>
      </c>
      <c r="D675" s="384">
        <f t="shared" si="55"/>
        <v>6.3794172149999842E-2</v>
      </c>
      <c r="E675" s="338">
        <v>1.6616977005374611</v>
      </c>
      <c r="F675" s="384">
        <f t="shared" si="54"/>
        <v>0.60179417692914838</v>
      </c>
    </row>
    <row r="676" spans="2:6" x14ac:dyDescent="0.3">
      <c r="B676" s="337">
        <v>67.2</v>
      </c>
      <c r="C676" s="338">
        <v>15.636120800016037</v>
      </c>
      <c r="D676" s="384">
        <f t="shared" si="55"/>
        <v>6.3954481599999807E-2</v>
      </c>
      <c r="E676" s="338">
        <v>1.6580189971835386</v>
      </c>
      <c r="F676" s="384">
        <f t="shared" si="54"/>
        <v>0.60312939821479161</v>
      </c>
    </row>
    <row r="677" spans="2:6" x14ac:dyDescent="0.3">
      <c r="B677" s="337">
        <v>67.3</v>
      </c>
      <c r="C677" s="338">
        <v>15.596885796951554</v>
      </c>
      <c r="D677" s="384">
        <f t="shared" si="55"/>
        <v>6.4115363349999788E-2</v>
      </c>
      <c r="E677" s="338">
        <v>1.6543516141324603</v>
      </c>
      <c r="F677" s="384">
        <f t="shared" si="54"/>
        <v>0.60446642144112672</v>
      </c>
    </row>
    <row r="678" spans="2:6" x14ac:dyDescent="0.3">
      <c r="B678" s="337">
        <v>67.400000000000006</v>
      </c>
      <c r="C678" s="338">
        <v>15.557708680206117</v>
      </c>
      <c r="D678" s="384">
        <f t="shared" si="55"/>
        <v>6.4276817399999769E-2</v>
      </c>
      <c r="E678" s="338">
        <v>1.650695515441956</v>
      </c>
      <c r="F678" s="384">
        <f t="shared" si="54"/>
        <v>0.60580524430167892</v>
      </c>
    </row>
    <row r="679" spans="2:6" x14ac:dyDescent="0.3">
      <c r="B679" s="337">
        <v>67.5</v>
      </c>
      <c r="C679" s="338">
        <v>15.518590058500292</v>
      </c>
      <c r="D679" s="384">
        <f t="shared" si="55"/>
        <v>6.4438843749999766E-2</v>
      </c>
      <c r="E679" s="338">
        <v>1.647050665190072</v>
      </c>
      <c r="F679" s="384">
        <f t="shared" si="54"/>
        <v>0.60714586450478047</v>
      </c>
    </row>
    <row r="680" spans="2:6" x14ac:dyDescent="0.3">
      <c r="B680" s="337">
        <v>67.599999999999994</v>
      </c>
      <c r="C680" s="338">
        <v>15.479530531349306</v>
      </c>
      <c r="D680" s="384">
        <f t="shared" si="55"/>
        <v>6.4601442399999764E-2</v>
      </c>
      <c r="E680" s="338">
        <v>1.6434170274771562</v>
      </c>
      <c r="F680" s="384">
        <f t="shared" si="54"/>
        <v>0.60848827977346742</v>
      </c>
    </row>
    <row r="681" spans="2:6" x14ac:dyDescent="0.3">
      <c r="B681" s="337">
        <v>67.7</v>
      </c>
      <c r="C681" s="338">
        <v>15.440530689125223</v>
      </c>
      <c r="D681" s="384">
        <f t="shared" si="55"/>
        <v>6.4764613349999736E-2</v>
      </c>
      <c r="E681" s="338">
        <v>1.6397945664277198</v>
      </c>
      <c r="F681" s="384">
        <f t="shared" si="54"/>
        <v>0.60983248784540889</v>
      </c>
    </row>
    <row r="682" spans="2:6" x14ac:dyDescent="0.3">
      <c r="B682" s="337">
        <v>67.8</v>
      </c>
      <c r="C682" s="338">
        <v>15.401591113119354</v>
      </c>
      <c r="D682" s="384">
        <f t="shared" si="55"/>
        <v>6.4928356599999723E-2</v>
      </c>
      <c r="E682" s="338">
        <v>1.6361832461923416</v>
      </c>
      <c r="F682" s="384">
        <f t="shared" si="54"/>
        <v>0.61117848647280737</v>
      </c>
    </row>
    <row r="683" spans="2:6" x14ac:dyDescent="0.3">
      <c r="B683" s="337">
        <v>67.900000000000006</v>
      </c>
      <c r="C683" s="338">
        <v>15.362712375605</v>
      </c>
      <c r="D683" s="384">
        <f t="shared" si="55"/>
        <v>6.5092672149999739E-2</v>
      </c>
      <c r="E683" s="338">
        <v>1.6325830309494584</v>
      </c>
      <c r="F683" s="384">
        <f t="shared" si="54"/>
        <v>0.61252627342232746</v>
      </c>
    </row>
    <row r="684" spans="2:6" x14ac:dyDescent="0.3">
      <c r="B684" s="337">
        <v>68</v>
      </c>
      <c r="C684" s="338">
        <v>15.323895039900428</v>
      </c>
      <c r="D684" s="384">
        <f t="shared" si="55"/>
        <v>6.5257559999999701E-2</v>
      </c>
      <c r="E684" s="338">
        <v>1.628993884907177</v>
      </c>
      <c r="F684" s="384">
        <f t="shared" si="54"/>
        <v>0.61387584647500493</v>
      </c>
    </row>
    <row r="685" spans="2:6" x14ac:dyDescent="0.3">
      <c r="B685" s="331">
        <v>68.099999999999994</v>
      </c>
      <c r="C685" s="332">
        <v>15.285139660431964</v>
      </c>
      <c r="D685" s="385">
        <f t="shared" si="55"/>
        <v>6.5423020149999705E-2</v>
      </c>
      <c r="E685" s="332">
        <v>1.6254157723050282</v>
      </c>
      <c r="F685" s="385">
        <f t="shared" si="54"/>
        <v>0.61522720342616333</v>
      </c>
    </row>
    <row r="686" spans="2:6" x14ac:dyDescent="0.3">
      <c r="B686" s="331">
        <v>68.2</v>
      </c>
      <c r="C686" s="332">
        <v>15.246446782797481</v>
      </c>
      <c r="D686" s="385">
        <f t="shared" si="55"/>
        <v>6.5589052599999684E-2</v>
      </c>
      <c r="E686" s="332">
        <v>1.6218486574156856</v>
      </c>
      <c r="F686" s="385">
        <f t="shared" si="54"/>
        <v>0.61658034208533208</v>
      </c>
    </row>
    <row r="687" spans="2:6" x14ac:dyDescent="0.3">
      <c r="B687" s="331">
        <v>68.3</v>
      </c>
      <c r="C687" s="332">
        <v>15.207816943829931</v>
      </c>
      <c r="D687" s="385">
        <f t="shared" si="55"/>
        <v>6.5755657349999663E-2</v>
      </c>
      <c r="E687" s="332">
        <v>1.6182925045466414</v>
      </c>
      <c r="F687" s="385">
        <f t="shared" si="54"/>
        <v>0.61793526027616763</v>
      </c>
    </row>
    <row r="688" spans="2:6" x14ac:dyDescent="0.3">
      <c r="B688" s="331">
        <v>68.400000000000006</v>
      </c>
      <c r="C688" s="332">
        <v>15.169250671661127</v>
      </c>
      <c r="D688" s="385">
        <f t="shared" si="55"/>
        <v>6.5922834399999658E-2</v>
      </c>
      <c r="E688" s="332">
        <v>1.6147472780418712</v>
      </c>
      <c r="F688" s="385">
        <f t="shared" si="54"/>
        <v>0.61929195583636676</v>
      </c>
    </row>
    <row r="689" spans="2:6" x14ac:dyDescent="0.3">
      <c r="B689" s="331">
        <v>68.5</v>
      </c>
      <c r="C689" s="332">
        <v>15.130748485785693</v>
      </c>
      <c r="D689" s="385">
        <f t="shared" si="55"/>
        <v>6.6090583749999668E-2</v>
      </c>
      <c r="E689" s="332">
        <v>1.611212942283434</v>
      </c>
      <c r="F689" s="385">
        <f t="shared" si="54"/>
        <v>0.62065042661759262</v>
      </c>
    </row>
    <row r="690" spans="2:6" x14ac:dyDescent="0.3">
      <c r="B690" s="331">
        <v>68.599999999999994</v>
      </c>
      <c r="C690" s="332">
        <v>15.092310897125159</v>
      </c>
      <c r="D690" s="385">
        <f t="shared" si="55"/>
        <v>6.6258905399999665E-2</v>
      </c>
      <c r="E690" s="332">
        <v>1.6076894616930757</v>
      </c>
      <c r="F690" s="385">
        <f t="shared" si="54"/>
        <v>0.62201067048538639</v>
      </c>
    </row>
    <row r="691" spans="2:6" x14ac:dyDescent="0.3">
      <c r="B691" s="331">
        <v>68.7</v>
      </c>
      <c r="C691" s="332">
        <v>15.053938408092174</v>
      </c>
      <c r="D691" s="385">
        <f t="shared" si="55"/>
        <v>6.642779934999965E-2</v>
      </c>
      <c r="E691" s="332">
        <v>1.6041768007337636</v>
      </c>
      <c r="F691" s="385">
        <f t="shared" si="54"/>
        <v>0.6233726853190944</v>
      </c>
    </row>
    <row r="692" spans="2:6" x14ac:dyDescent="0.3">
      <c r="B692" s="331">
        <v>68.8</v>
      </c>
      <c r="C692" s="332">
        <v>15.015631512654858</v>
      </c>
      <c r="D692" s="385">
        <f t="shared" si="55"/>
        <v>6.659726559999965E-2</v>
      </c>
      <c r="E692" s="332">
        <v>1.6006749239112144</v>
      </c>
      <c r="F692" s="385">
        <f t="shared" si="54"/>
        <v>0.62473646901178526</v>
      </c>
    </row>
    <row r="693" spans="2:6" x14ac:dyDescent="0.3">
      <c r="B693" s="331">
        <v>68.900000000000006</v>
      </c>
      <c r="C693" s="332">
        <v>14.977390696401301</v>
      </c>
      <c r="D693" s="385">
        <f t="shared" si="55"/>
        <v>6.6767304149999596E-2</v>
      </c>
      <c r="E693" s="332">
        <v>1.5971837957753725</v>
      </c>
      <c r="F693" s="385">
        <f t="shared" si="54"/>
        <v>0.62610201947017485</v>
      </c>
    </row>
    <row r="694" spans="2:6" x14ac:dyDescent="0.3">
      <c r="B694" s="331">
        <v>69</v>
      </c>
      <c r="C694" s="332">
        <v>14.93921643660406</v>
      </c>
      <c r="D694" s="385">
        <f t="shared" si="55"/>
        <v>6.693791499999964E-2</v>
      </c>
      <c r="E694" s="332">
        <v>1.5937033809218708</v>
      </c>
      <c r="F694" s="385">
        <f t="shared" si="54"/>
        <v>0.6274693346145469</v>
      </c>
    </row>
    <row r="695" spans="2:6" x14ac:dyDescent="0.3">
      <c r="B695" s="337">
        <v>69.099999999999994</v>
      </c>
      <c r="C695" s="338">
        <v>14.901109202284907</v>
      </c>
      <c r="D695" s="384">
        <f t="shared" si="55"/>
        <v>6.7109098149999602E-2</v>
      </c>
      <c r="E695" s="338">
        <v>1.5902336439934643</v>
      </c>
      <c r="F695" s="384">
        <f t="shared" si="54"/>
        <v>0.62883841237867177</v>
      </c>
    </row>
    <row r="696" spans="2:6" x14ac:dyDescent="0.3">
      <c r="B696" s="337">
        <v>69.2</v>
      </c>
      <c r="C696" s="338">
        <v>14.863069454279431</v>
      </c>
      <c r="D696" s="384">
        <f t="shared" si="55"/>
        <v>6.7280853599999579E-2</v>
      </c>
      <c r="E696" s="338">
        <v>1.5867745496813952</v>
      </c>
      <c r="F696" s="384">
        <f t="shared" si="54"/>
        <v>0.63020925070974176</v>
      </c>
    </row>
    <row r="697" spans="2:6" x14ac:dyDescent="0.3">
      <c r="B697" s="337">
        <v>69.3</v>
      </c>
      <c r="C697" s="338">
        <v>14.825097645301884</v>
      </c>
      <c r="D697" s="384">
        <f t="shared" si="55"/>
        <v>6.74531813499996E-2</v>
      </c>
      <c r="E697" s="338">
        <v>1.5833260627267984</v>
      </c>
      <c r="F697" s="384">
        <f t="shared" si="54"/>
        <v>0.63158184756827884</v>
      </c>
    </row>
    <row r="698" spans="2:6" x14ac:dyDescent="0.3">
      <c r="B698" s="337">
        <v>69.400000000000006</v>
      </c>
      <c r="C698" s="338">
        <v>14.787194220010008</v>
      </c>
      <c r="D698" s="384">
        <f t="shared" si="55"/>
        <v>6.762608139999958E-2</v>
      </c>
      <c r="E698" s="338">
        <v>1.5798881479220006</v>
      </c>
      <c r="F698" s="384">
        <f t="shared" si="54"/>
        <v>0.6329562009280737</v>
      </c>
    </row>
    <row r="699" spans="2:6" x14ac:dyDescent="0.3">
      <c r="B699" s="337">
        <v>69.5</v>
      </c>
      <c r="C699" s="338">
        <v>14.74935961506983</v>
      </c>
      <c r="D699" s="384">
        <f t="shared" si="55"/>
        <v>6.7799553749999575E-2</v>
      </c>
      <c r="E699" s="338">
        <v>1.5764607701118574</v>
      </c>
      <c r="F699" s="384">
        <f t="shared" si="54"/>
        <v>0.63433230877609803</v>
      </c>
    </row>
    <row r="700" spans="2:6" x14ac:dyDescent="0.3">
      <c r="B700" s="337">
        <v>69.599999999999994</v>
      </c>
      <c r="C700" s="338">
        <v>14.711594259220599</v>
      </c>
      <c r="D700" s="384">
        <f t="shared" si="55"/>
        <v>6.7973598399999557E-2</v>
      </c>
      <c r="E700" s="338">
        <v>1.5730438941949834</v>
      </c>
      <c r="F700" s="384">
        <f t="shared" si="54"/>
        <v>0.63571016911245015</v>
      </c>
    </row>
    <row r="701" spans="2:6" x14ac:dyDescent="0.3">
      <c r="B701" s="337">
        <v>69.7</v>
      </c>
      <c r="C701" s="338">
        <v>14.673898573339624</v>
      </c>
      <c r="D701" s="384">
        <f t="shared" si="55"/>
        <v>6.8148215349999555E-2</v>
      </c>
      <c r="E701" s="338">
        <v>1.5696374851250676</v>
      </c>
      <c r="F701" s="384">
        <f t="shared" si="54"/>
        <v>0.6370897799502544</v>
      </c>
    </row>
    <row r="702" spans="2:6" x14ac:dyDescent="0.3">
      <c r="B702" s="337">
        <v>69.8</v>
      </c>
      <c r="C702" s="338">
        <v>14.636272970507196</v>
      </c>
      <c r="D702" s="384">
        <f t="shared" si="55"/>
        <v>6.8323404599999513E-2</v>
      </c>
      <c r="E702" s="338">
        <v>1.566241507912044</v>
      </c>
      <c r="F702" s="384">
        <f t="shared" si="54"/>
        <v>0.63847113931560895</v>
      </c>
    </row>
    <row r="703" spans="2:6" x14ac:dyDescent="0.3">
      <c r="B703" s="337">
        <v>69.900000000000006</v>
      </c>
      <c r="C703" s="338">
        <v>14.598717856071405</v>
      </c>
      <c r="D703" s="384">
        <f t="shared" si="55"/>
        <v>6.8499166149999527E-2</v>
      </c>
      <c r="E703" s="338">
        <v>1.5628559276233045</v>
      </c>
      <c r="F703" s="384">
        <f t="shared" si="54"/>
        <v>0.63985424524750578</v>
      </c>
    </row>
    <row r="704" spans="2:6" x14ac:dyDescent="0.3">
      <c r="B704" s="337">
        <v>70</v>
      </c>
      <c r="C704" s="338">
        <v>14.561233627713042</v>
      </c>
      <c r="D704" s="384">
        <f t="shared" si="55"/>
        <v>6.8675499999999515E-2</v>
      </c>
      <c r="E704" s="338">
        <v>1.5594807093848821</v>
      </c>
      <c r="F704" s="384">
        <f t="shared" si="54"/>
        <v>0.64123909579775284</v>
      </c>
    </row>
    <row r="705" spans="2:6" x14ac:dyDescent="0.3">
      <c r="B705" s="331">
        <v>70.099999999999994</v>
      </c>
      <c r="C705" s="332">
        <v>14.52382067551037</v>
      </c>
      <c r="D705" s="385">
        <f t="shared" si="55"/>
        <v>6.885240614999949E-2</v>
      </c>
      <c r="E705" s="332">
        <v>1.5561158183825499</v>
      </c>
      <c r="F705" s="385">
        <f t="shared" si="54"/>
        <v>0.64262568903091999</v>
      </c>
    </row>
    <row r="706" spans="2:6" x14ac:dyDescent="0.3">
      <c r="B706" s="331">
        <v>70.2</v>
      </c>
      <c r="C706" s="332">
        <v>14.486479382003884</v>
      </c>
      <c r="D706" s="385">
        <f t="shared" si="55"/>
        <v>6.9029884599999494E-2</v>
      </c>
      <c r="E706" s="332">
        <v>1.5527612198629857</v>
      </c>
      <c r="F706" s="385">
        <f t="shared" si="54"/>
        <v>0.64401402302424782</v>
      </c>
    </row>
    <row r="707" spans="2:6" x14ac:dyDescent="0.3">
      <c r="B707" s="331">
        <v>70.3</v>
      </c>
      <c r="C707" s="332">
        <v>14.449210122261039</v>
      </c>
      <c r="D707" s="385">
        <f t="shared" si="55"/>
        <v>6.9207935349999472E-2</v>
      </c>
      <c r="E707" s="332">
        <v>1.5494168791348404</v>
      </c>
      <c r="F707" s="385">
        <f t="shared" si="54"/>
        <v>0.64540409586758696</v>
      </c>
    </row>
    <row r="708" spans="2:6" x14ac:dyDescent="0.3">
      <c r="B708" s="331">
        <v>70.400000000000006</v>
      </c>
      <c r="C708" s="332">
        <v>14.412013263940873</v>
      </c>
      <c r="D708" s="385">
        <f t="shared" si="55"/>
        <v>6.9386558399999451E-2</v>
      </c>
      <c r="E708" s="332">
        <v>1.5460827615697994</v>
      </c>
      <c r="F708" s="385">
        <f t="shared" si="54"/>
        <v>0.64679590566332956</v>
      </c>
    </row>
    <row r="709" spans="2:6" x14ac:dyDescent="0.3">
      <c r="B709" s="331">
        <v>70.5</v>
      </c>
      <c r="C709" s="332">
        <v>14.37488916735856</v>
      </c>
      <c r="D709" s="385">
        <f t="shared" si="55"/>
        <v>6.9565753749999432E-2</v>
      </c>
      <c r="E709" s="332">
        <v>1.5427588326036243</v>
      </c>
      <c r="F709" s="385">
        <f t="shared" ref="F709:F772" si="56">1/E709</f>
        <v>0.64818945052633936</v>
      </c>
    </row>
    <row r="710" spans="2:6" x14ac:dyDescent="0.3">
      <c r="B710" s="331">
        <v>70.599999999999994</v>
      </c>
      <c r="C710" s="332">
        <v>14.337838185549906</v>
      </c>
      <c r="D710" s="385">
        <f t="shared" ref="D710:D773" si="57">1/C710</f>
        <v>6.9745521399999427E-2</v>
      </c>
      <c r="E710" s="332">
        <v>1.5394450577371857</v>
      </c>
      <c r="F710" s="385">
        <f t="shared" si="56"/>
        <v>0.64958472858387661</v>
      </c>
    </row>
    <row r="711" spans="2:6" x14ac:dyDescent="0.3">
      <c r="B711" s="331">
        <v>70.7</v>
      </c>
      <c r="C711" s="332">
        <v>14.300860664335717</v>
      </c>
      <c r="D711" s="385">
        <f t="shared" si="57"/>
        <v>6.9925861349999424E-2</v>
      </c>
      <c r="E711" s="332">
        <v>1.5361414025374505</v>
      </c>
      <c r="F711" s="385">
        <f t="shared" si="56"/>
        <v>0.65098173797553149</v>
      </c>
    </row>
    <row r="712" spans="2:6" x14ac:dyDescent="0.3">
      <c r="B712" s="331">
        <v>70.8</v>
      </c>
      <c r="C712" s="332">
        <v>14.263956942386072</v>
      </c>
      <c r="D712" s="385">
        <f t="shared" si="57"/>
        <v>7.0106773599999395E-2</v>
      </c>
      <c r="E712" s="332">
        <v>1.5328478326384172</v>
      </c>
      <c r="F712" s="385">
        <f t="shared" si="56"/>
        <v>0.6523804768531708</v>
      </c>
    </row>
    <row r="713" spans="2:6" x14ac:dyDescent="0.3">
      <c r="B713" s="331">
        <v>70.900000000000006</v>
      </c>
      <c r="C713" s="332">
        <v>14.227127351284476</v>
      </c>
      <c r="D713" s="385">
        <f t="shared" si="57"/>
        <v>7.0288258149999366E-2</v>
      </c>
      <c r="E713" s="332">
        <v>1.5295643137421251</v>
      </c>
      <c r="F713" s="385">
        <f t="shared" si="56"/>
        <v>0.65378094338084414</v>
      </c>
    </row>
    <row r="714" spans="2:6" x14ac:dyDescent="0.3">
      <c r="B714" s="331">
        <v>71</v>
      </c>
      <c r="C714" s="332">
        <v>14.190372215591896</v>
      </c>
      <c r="D714" s="385">
        <f t="shared" si="57"/>
        <v>7.0470314999999381E-2</v>
      </c>
      <c r="E714" s="332">
        <v>1.5262908116195246</v>
      </c>
      <c r="F714" s="385">
        <f t="shared" si="56"/>
        <v>0.65518313573473907</v>
      </c>
    </row>
    <row r="715" spans="2:6" x14ac:dyDescent="0.3">
      <c r="B715" s="337">
        <v>71.099999999999994</v>
      </c>
      <c r="C715" s="338">
        <v>14.153691852910688</v>
      </c>
      <c r="D715" s="384">
        <f t="shared" si="57"/>
        <v>7.0652944149999369E-2</v>
      </c>
      <c r="E715" s="338">
        <v>1.5230272921113996</v>
      </c>
      <c r="F715" s="384">
        <f t="shared" si="56"/>
        <v>0.65658705210310597</v>
      </c>
    </row>
    <row r="716" spans="2:6" x14ac:dyDescent="0.3">
      <c r="B716" s="337">
        <v>71.2</v>
      </c>
      <c r="C716" s="338">
        <v>14.117086573948331</v>
      </c>
      <c r="D716" s="384">
        <f t="shared" si="57"/>
        <v>7.0836145599999345E-2</v>
      </c>
      <c r="E716" s="338">
        <v>1.519773721129235</v>
      </c>
      <c r="F716" s="384">
        <f t="shared" si="56"/>
        <v>0.65799269068619737</v>
      </c>
    </row>
    <row r="717" spans="2:6" x14ac:dyDescent="0.3">
      <c r="B717" s="337">
        <v>71.3</v>
      </c>
      <c r="C717" s="338">
        <v>14.080556682581047</v>
      </c>
      <c r="D717" s="384">
        <f t="shared" si="57"/>
        <v>7.1019919349999322E-2</v>
      </c>
      <c r="E717" s="338">
        <v>1.5165300646561104</v>
      </c>
      <c r="F717" s="384">
        <f t="shared" si="56"/>
        <v>0.65940004969618637</v>
      </c>
    </row>
    <row r="718" spans="2:6" x14ac:dyDescent="0.3">
      <c r="B718" s="337">
        <v>71.400000000000006</v>
      </c>
      <c r="C718" s="338">
        <v>14.044102475917253</v>
      </c>
      <c r="D718" s="384">
        <f t="shared" si="57"/>
        <v>7.1204265399999342E-2</v>
      </c>
      <c r="E718" s="338">
        <v>1.5132962887474812</v>
      </c>
      <c r="F718" s="384">
        <f t="shared" si="56"/>
        <v>0.66080912735712571</v>
      </c>
    </row>
    <row r="719" spans="2:6" x14ac:dyDescent="0.3">
      <c r="B719" s="337">
        <v>71.5</v>
      </c>
      <c r="C719" s="338">
        <v>14.00772424436089</v>
      </c>
      <c r="D719" s="384">
        <f t="shared" si="57"/>
        <v>7.1389183749999321E-2</v>
      </c>
      <c r="E719" s="338">
        <v>1.5100723595320364</v>
      </c>
      <c r="F719" s="384">
        <f t="shared" si="56"/>
        <v>0.66221992190486478</v>
      </c>
    </row>
    <row r="720" spans="2:6" x14ac:dyDescent="0.3">
      <c r="B720" s="337">
        <v>71.599999999999994</v>
      </c>
      <c r="C720" s="338">
        <v>13.971422271674491</v>
      </c>
      <c r="D720" s="384">
        <f t="shared" si="57"/>
        <v>7.1574674399999275E-2</v>
      </c>
      <c r="E720" s="338">
        <v>1.5068582432124684</v>
      </c>
      <c r="F720" s="384">
        <f t="shared" si="56"/>
        <v>0.66363243158699636</v>
      </c>
    </row>
    <row r="721" spans="2:6" x14ac:dyDescent="0.3">
      <c r="B721" s="337">
        <v>71.7</v>
      </c>
      <c r="C721" s="338">
        <v>13.935196835042134</v>
      </c>
      <c r="D721" s="384">
        <f t="shared" si="57"/>
        <v>7.1760737349999285E-2</v>
      </c>
      <c r="E721" s="338">
        <v>1.5036539060662659</v>
      </c>
      <c r="F721" s="384">
        <f t="shared" si="56"/>
        <v>0.66504665466278523</v>
      </c>
    </row>
    <row r="722" spans="2:6" x14ac:dyDescent="0.3">
      <c r="B722" s="337">
        <v>71.8</v>
      </c>
      <c r="C722" s="338">
        <v>13.899048205132232</v>
      </c>
      <c r="D722" s="384">
        <f t="shared" si="57"/>
        <v>7.1947372599999282E-2</v>
      </c>
      <c r="E722" s="338">
        <v>1.5004593144464635</v>
      </c>
      <c r="F722" s="384">
        <f t="shared" si="56"/>
        <v>0.66646258940310643</v>
      </c>
    </row>
    <row r="723" spans="2:6" x14ac:dyDescent="0.3">
      <c r="B723" s="337">
        <v>71.900000000000006</v>
      </c>
      <c r="C723" s="338">
        <v>13.862976646160048</v>
      </c>
      <c r="D723" s="384">
        <f t="shared" si="57"/>
        <v>7.2134580149999267E-2</v>
      </c>
      <c r="E723" s="338">
        <v>1.4972744347823621</v>
      </c>
      <c r="F723" s="384">
        <f t="shared" si="56"/>
        <v>0.66788023409038977</v>
      </c>
    </row>
    <row r="724" spans="2:6" x14ac:dyDescent="0.3">
      <c r="B724" s="337">
        <v>72</v>
      </c>
      <c r="C724" s="338">
        <v>13.826982415950063</v>
      </c>
      <c r="D724" s="384">
        <f t="shared" si="57"/>
        <v>7.2322359999999267E-2</v>
      </c>
      <c r="E724" s="338">
        <v>1.4940992335802412</v>
      </c>
      <c r="F724" s="384">
        <f t="shared" si="56"/>
        <v>0.66929958701855841</v>
      </c>
    </row>
    <row r="725" spans="2:6" x14ac:dyDescent="0.3">
      <c r="B725" s="331">
        <v>72.099999999999994</v>
      </c>
      <c r="C725" s="332">
        <v>13.791065765998139</v>
      </c>
      <c r="D725" s="385">
        <f t="shared" si="57"/>
        <v>7.2510712149999254E-2</v>
      </c>
      <c r="E725" s="332">
        <v>1.4909336774240998</v>
      </c>
      <c r="F725" s="385">
        <f t="shared" si="56"/>
        <v>0.6707206464929476</v>
      </c>
    </row>
    <row r="726" spans="2:6" x14ac:dyDescent="0.3">
      <c r="B726" s="331">
        <v>72.2</v>
      </c>
      <c r="C726" s="332">
        <v>13.755226941533442</v>
      </c>
      <c r="D726" s="385">
        <f t="shared" si="57"/>
        <v>7.2699636599999229E-2</v>
      </c>
      <c r="E726" s="332">
        <v>1.4877777329762811</v>
      </c>
      <c r="F726" s="385">
        <f t="shared" si="56"/>
        <v>0.67214341083026719</v>
      </c>
    </row>
    <row r="727" spans="2:6" x14ac:dyDescent="0.3">
      <c r="B727" s="331">
        <v>72.3</v>
      </c>
      <c r="C727" s="332">
        <v>13.719466181580149</v>
      </c>
      <c r="D727" s="385">
        <f t="shared" si="57"/>
        <v>7.2889133349999219E-2</v>
      </c>
      <c r="E727" s="332">
        <v>1.4846313669781612</v>
      </c>
      <c r="F727" s="385">
        <f t="shared" si="56"/>
        <v>0.67356787835852716</v>
      </c>
    </row>
    <row r="728" spans="2:6" x14ac:dyDescent="0.3">
      <c r="B728" s="331">
        <v>72.400000000000006</v>
      </c>
      <c r="C728" s="332">
        <v>13.683783719018951</v>
      </c>
      <c r="D728" s="385">
        <f t="shared" si="57"/>
        <v>7.3079202399999224E-2</v>
      </c>
      <c r="E728" s="332">
        <v>1.4814945462507749</v>
      </c>
      <c r="F728" s="385">
        <f t="shared" si="56"/>
        <v>0.67499404741698488</v>
      </c>
    </row>
    <row r="729" spans="2:6" x14ac:dyDescent="0.3">
      <c r="B729" s="331">
        <v>72.5</v>
      </c>
      <c r="C729" s="332">
        <v>13.648179780648313</v>
      </c>
      <c r="D729" s="385">
        <f t="shared" si="57"/>
        <v>7.3269843749999189E-2</v>
      </c>
      <c r="E729" s="332">
        <v>1.4783672376954557</v>
      </c>
      <c r="F729" s="385">
        <f t="shared" si="56"/>
        <v>0.67642191635607685</v>
      </c>
    </row>
    <row r="730" spans="2:6" x14ac:dyDescent="0.3">
      <c r="B730" s="331">
        <v>72.599999999999994</v>
      </c>
      <c r="C730" s="332">
        <v>13.612654587245446</v>
      </c>
      <c r="D730" s="385">
        <f t="shared" si="57"/>
        <v>7.3461057399999197E-2</v>
      </c>
      <c r="E730" s="332">
        <v>1.475249408294425</v>
      </c>
      <c r="F730" s="385">
        <f t="shared" si="56"/>
        <v>0.67785148353736779</v>
      </c>
    </row>
    <row r="731" spans="2:6" x14ac:dyDescent="0.3">
      <c r="B731" s="331">
        <v>72.7</v>
      </c>
      <c r="C731" s="332">
        <v>13.577208353627144</v>
      </c>
      <c r="D731" s="385">
        <f t="shared" si="57"/>
        <v>7.365284334999915E-2</v>
      </c>
      <c r="E731" s="332">
        <v>1.4721410251113878</v>
      </c>
      <c r="F731" s="385">
        <f t="shared" si="56"/>
        <v>0.67928274733348748</v>
      </c>
    </row>
    <row r="732" spans="2:6" x14ac:dyDescent="0.3">
      <c r="B732" s="331">
        <v>72.8</v>
      </c>
      <c r="C732" s="332">
        <v>13.541841288710236</v>
      </c>
      <c r="D732" s="385">
        <f t="shared" si="57"/>
        <v>7.3845201599999175E-2</v>
      </c>
      <c r="E732" s="332">
        <v>1.4690420552921197</v>
      </c>
      <c r="F732" s="385">
        <f t="shared" si="56"/>
        <v>0.68071570612806553</v>
      </c>
    </row>
    <row r="733" spans="2:6" x14ac:dyDescent="0.3">
      <c r="B733" s="331">
        <v>72.900000000000006</v>
      </c>
      <c r="C733" s="332">
        <v>13.506553595571921</v>
      </c>
      <c r="D733" s="385">
        <f t="shared" si="57"/>
        <v>7.4038132149999145E-2</v>
      </c>
      <c r="E733" s="332">
        <v>1.4659524660649763</v>
      </c>
      <c r="F733" s="385">
        <f t="shared" si="56"/>
        <v>0.68215035831569482</v>
      </c>
    </row>
    <row r="734" spans="2:6" x14ac:dyDescent="0.3">
      <c r="B734" s="331">
        <v>73</v>
      </c>
      <c r="C734" s="332">
        <v>13.471345471509711</v>
      </c>
      <c r="D734" s="385">
        <f t="shared" si="57"/>
        <v>7.423163499999913E-2</v>
      </c>
      <c r="E734" s="332">
        <v>1.4628722247414991</v>
      </c>
      <c r="F734" s="385">
        <f t="shared" si="56"/>
        <v>0.68358670230184171</v>
      </c>
    </row>
    <row r="735" spans="2:6" x14ac:dyDescent="0.3">
      <c r="B735" s="337">
        <v>73.099999999999994</v>
      </c>
      <c r="C735" s="338">
        <v>13.436217108101213</v>
      </c>
      <c r="D735" s="384">
        <f t="shared" si="57"/>
        <v>7.4425710149999103E-2</v>
      </c>
      <c r="E735" s="338">
        <v>1.45980129871688</v>
      </c>
      <c r="F735" s="384">
        <f t="shared" si="56"/>
        <v>0.68502473650281648</v>
      </c>
    </row>
    <row r="736" spans="2:6" x14ac:dyDescent="0.3">
      <c r="B736" s="337">
        <v>73.2</v>
      </c>
      <c r="C736" s="338">
        <v>13.401168691263576</v>
      </c>
      <c r="D736" s="384">
        <f t="shared" si="57"/>
        <v>7.4620357599999104E-2</v>
      </c>
      <c r="E736" s="338">
        <v>1.4567396554704934</v>
      </c>
      <c r="F736" s="384">
        <f t="shared" si="56"/>
        <v>0.68646445934570444</v>
      </c>
    </row>
    <row r="737" spans="2:6" x14ac:dyDescent="0.3">
      <c r="B737" s="337">
        <v>73.3</v>
      </c>
      <c r="C737" s="338">
        <v>13.366200401312708</v>
      </c>
      <c r="D737" s="384">
        <f t="shared" si="57"/>
        <v>7.4815577349999107E-2</v>
      </c>
      <c r="E737" s="338">
        <v>1.4536872625663957</v>
      </c>
      <c r="F737" s="384">
        <f t="shared" si="56"/>
        <v>0.68790586926830555</v>
      </c>
    </row>
    <row r="738" spans="2:6" x14ac:dyDescent="0.3">
      <c r="B738" s="337">
        <v>73.400000000000006</v>
      </c>
      <c r="C738" s="338">
        <v>13.331312413022184</v>
      </c>
      <c r="D738" s="384">
        <f t="shared" si="57"/>
        <v>7.501136939999907E-2</v>
      </c>
      <c r="E738" s="338">
        <v>1.4506440876537687</v>
      </c>
      <c r="F738" s="384">
        <f t="shared" si="56"/>
        <v>0.6893489647190939</v>
      </c>
    </row>
    <row r="739" spans="2:6" x14ac:dyDescent="0.3">
      <c r="B739" s="337">
        <v>73.5</v>
      </c>
      <c r="C739" s="338">
        <v>13.296504895681853</v>
      </c>
      <c r="D739" s="384">
        <f t="shared" si="57"/>
        <v>7.5207733749999076E-2</v>
      </c>
      <c r="E739" s="338">
        <v>1.4476100984674281</v>
      </c>
      <c r="F739" s="384">
        <f t="shared" si="56"/>
        <v>0.69079374415713946</v>
      </c>
    </row>
    <row r="740" spans="2:6" x14ac:dyDescent="0.3">
      <c r="B740" s="337">
        <v>73.599999999999994</v>
      </c>
      <c r="C740" s="338">
        <v>13.261778013156238</v>
      </c>
      <c r="D740" s="384">
        <f t="shared" si="57"/>
        <v>7.5404670399999013E-2</v>
      </c>
      <c r="E740" s="338">
        <v>1.4445852628282301</v>
      </c>
      <c r="F740" s="384">
        <f t="shared" si="56"/>
        <v>0.69224020605207159</v>
      </c>
    </row>
    <row r="741" spans="2:6" x14ac:dyDescent="0.3">
      <c r="B741" s="337">
        <v>73.7</v>
      </c>
      <c r="C741" s="338">
        <v>13.227131923942522</v>
      </c>
      <c r="D741" s="384">
        <f t="shared" si="57"/>
        <v>7.5602179349999007E-2</v>
      </c>
      <c r="E741" s="338">
        <v>1.4415695486435152</v>
      </c>
      <c r="F741" s="384">
        <f t="shared" si="56"/>
        <v>0.69368834888401865</v>
      </c>
    </row>
    <row r="742" spans="2:6" x14ac:dyDescent="0.3">
      <c r="B742" s="337">
        <v>73.8</v>
      </c>
      <c r="C742" s="338">
        <v>13.192566781228363</v>
      </c>
      <c r="D742" s="384">
        <f t="shared" si="57"/>
        <v>7.5800260599999003E-2</v>
      </c>
      <c r="E742" s="338">
        <v>1.4385629239075441</v>
      </c>
      <c r="F742" s="384">
        <f t="shared" si="56"/>
        <v>0.69513817114354437</v>
      </c>
    </row>
    <row r="743" spans="2:6" x14ac:dyDescent="0.3">
      <c r="B743" s="337">
        <v>73.900000000000006</v>
      </c>
      <c r="C743" s="338">
        <v>13.158082732949326</v>
      </c>
      <c r="D743" s="384">
        <f t="shared" si="57"/>
        <v>7.5998914149999E-2</v>
      </c>
      <c r="E743" s="338">
        <v>1.4355653567018694</v>
      </c>
      <c r="F743" s="384">
        <f t="shared" si="56"/>
        <v>0.69658967133160954</v>
      </c>
    </row>
    <row r="744" spans="2:6" x14ac:dyDescent="0.3">
      <c r="B744" s="337">
        <v>74</v>
      </c>
      <c r="C744" s="338">
        <v>13.123679921846039</v>
      </c>
      <c r="D744" s="384">
        <f t="shared" si="57"/>
        <v>7.6198139999998971E-2</v>
      </c>
      <c r="E744" s="338">
        <v>1.4325768151957505</v>
      </c>
      <c r="F744" s="384">
        <f t="shared" si="56"/>
        <v>0.69804284795950555</v>
      </c>
    </row>
    <row r="745" spans="2:6" x14ac:dyDescent="0.3">
      <c r="B745" s="331">
        <v>74.099999999999994</v>
      </c>
      <c r="C745" s="332">
        <v>13.089358485521034</v>
      </c>
      <c r="D745" s="385">
        <f t="shared" si="57"/>
        <v>7.6397938149998956E-2</v>
      </c>
      <c r="E745" s="332">
        <v>1.4295972676465118</v>
      </c>
      <c r="F745" s="385">
        <f t="shared" si="56"/>
        <v>0.69949769954881036</v>
      </c>
    </row>
    <row r="746" spans="2:6" x14ac:dyDescent="0.3">
      <c r="B746" s="331">
        <v>74.2</v>
      </c>
      <c r="C746" s="332">
        <v>13.055118556495303</v>
      </c>
      <c r="D746" s="385">
        <f t="shared" si="57"/>
        <v>7.6598308599998943E-2</v>
      </c>
      <c r="E746" s="332">
        <v>1.4266266823999303</v>
      </c>
      <c r="F746" s="385">
        <f t="shared" si="56"/>
        <v>0.70095422463132306</v>
      </c>
    </row>
    <row r="747" spans="2:6" x14ac:dyDescent="0.3">
      <c r="B747" s="331">
        <v>74.3</v>
      </c>
      <c r="C747" s="332">
        <v>13.020960262264508</v>
      </c>
      <c r="D747" s="385">
        <f t="shared" si="57"/>
        <v>7.6799251349998932E-2</v>
      </c>
      <c r="E747" s="332">
        <v>1.4236650278905503</v>
      </c>
      <c r="F747" s="385">
        <f t="shared" si="56"/>
        <v>0.70241242174902874</v>
      </c>
    </row>
    <row r="748" spans="2:6" x14ac:dyDescent="0.3">
      <c r="B748" s="331">
        <v>74.400000000000006</v>
      </c>
      <c r="C748" s="332">
        <v>12.986883725354895</v>
      </c>
      <c r="D748" s="385">
        <f t="shared" si="57"/>
        <v>7.7000766399998921E-2</v>
      </c>
      <c r="E748" s="332">
        <v>1.4207122726420625</v>
      </c>
      <c r="F748" s="385">
        <f t="shared" si="56"/>
        <v>0.70387228945402536</v>
      </c>
    </row>
    <row r="749" spans="2:6" x14ac:dyDescent="0.3">
      <c r="B749" s="331">
        <v>74.5</v>
      </c>
      <c r="C749" s="332">
        <v>12.952889063378878</v>
      </c>
      <c r="D749" s="385">
        <f t="shared" si="57"/>
        <v>7.7202853749998926E-2</v>
      </c>
      <c r="E749" s="332">
        <v>1.4177683852675853</v>
      </c>
      <c r="F749" s="385">
        <f t="shared" si="56"/>
        <v>0.70533382630849328</v>
      </c>
    </row>
    <row r="750" spans="2:6" x14ac:dyDescent="0.3">
      <c r="B750" s="331">
        <v>74.599999999999994</v>
      </c>
      <c r="C750" s="332">
        <v>12.918976389090316</v>
      </c>
      <c r="D750" s="385">
        <f t="shared" si="57"/>
        <v>7.7405513399998904E-2</v>
      </c>
      <c r="E750" s="332">
        <v>1.4148333344700104</v>
      </c>
      <c r="F750" s="385">
        <f t="shared" si="56"/>
        <v>0.7067970308846272</v>
      </c>
    </row>
    <row r="751" spans="2:6" x14ac:dyDescent="0.3">
      <c r="B751" s="331">
        <v>74.7</v>
      </c>
      <c r="C751" s="332">
        <v>12.885145810439447</v>
      </c>
      <c r="D751" s="385">
        <f t="shared" si="57"/>
        <v>7.7608745349998884E-2</v>
      </c>
      <c r="E751" s="332">
        <v>1.4119070890422944</v>
      </c>
      <c r="F751" s="385">
        <f t="shared" si="56"/>
        <v>0.7082619017645887</v>
      </c>
    </row>
    <row r="752" spans="2:6" x14ac:dyDescent="0.3">
      <c r="B752" s="331">
        <v>74.8</v>
      </c>
      <c r="C752" s="332">
        <v>12.851397430627499</v>
      </c>
      <c r="D752" s="385">
        <f t="shared" si="57"/>
        <v>7.7812549599998851E-2</v>
      </c>
      <c r="E752" s="332">
        <v>1.4089896178677306</v>
      </c>
      <c r="F752" s="385">
        <f t="shared" si="56"/>
        <v>0.70972843754046411</v>
      </c>
    </row>
    <row r="753" spans="2:6" x14ac:dyDescent="0.3">
      <c r="B753" s="331">
        <v>74.900000000000006</v>
      </c>
      <c r="C753" s="332">
        <v>12.817731348160974</v>
      </c>
      <c r="D753" s="385">
        <f t="shared" si="57"/>
        <v>7.8016926149998861E-2</v>
      </c>
      <c r="E753" s="332">
        <v>1.4060808899202379</v>
      </c>
      <c r="F753" s="385">
        <f t="shared" si="56"/>
        <v>0.71119663681420664</v>
      </c>
    </row>
    <row r="754" spans="2:6" x14ac:dyDescent="0.3">
      <c r="B754" s="331">
        <v>75</v>
      </c>
      <c r="C754" s="332">
        <v>12.784147656905631</v>
      </c>
      <c r="D754" s="385">
        <f t="shared" si="57"/>
        <v>7.8221874999998817E-2</v>
      </c>
      <c r="E754" s="332">
        <v>1.4031808742646334</v>
      </c>
      <c r="F754" s="385">
        <f t="shared" si="56"/>
        <v>0.71266649819758343</v>
      </c>
    </row>
    <row r="755" spans="2:6" x14ac:dyDescent="0.3">
      <c r="B755" s="337">
        <v>75.099999999999994</v>
      </c>
      <c r="C755" s="338">
        <v>12.750646446140045</v>
      </c>
      <c r="D755" s="384">
        <f t="shared" si="57"/>
        <v>7.8427396149998829E-2</v>
      </c>
      <c r="E755" s="338">
        <v>1.4002895400568662</v>
      </c>
      <c r="F755" s="384">
        <f t="shared" si="56"/>
        <v>0.71413802031213458</v>
      </c>
    </row>
    <row r="756" spans="2:6" x14ac:dyDescent="0.3">
      <c r="B756" s="337">
        <v>75.2</v>
      </c>
      <c r="C756" s="338">
        <v>12.717227800608956</v>
      </c>
      <c r="D756" s="384">
        <f t="shared" si="57"/>
        <v>7.8633489599998802E-2</v>
      </c>
      <c r="E756" s="338">
        <v>1.3974068565442803</v>
      </c>
      <c r="F756" s="384">
        <f t="shared" si="56"/>
        <v>0.71561120178911364</v>
      </c>
    </row>
    <row r="757" spans="2:6" x14ac:dyDescent="0.3">
      <c r="B757" s="337">
        <v>75.3</v>
      </c>
      <c r="C757" s="338">
        <v>12.683891800576152</v>
      </c>
      <c r="D757" s="384">
        <f t="shared" si="57"/>
        <v>7.8840155349998817E-2</v>
      </c>
      <c r="E757" s="338">
        <v>1.3945327930658169</v>
      </c>
      <c r="F757" s="384">
        <f t="shared" si="56"/>
        <v>0.71708604126945308</v>
      </c>
    </row>
    <row r="758" spans="2:6" x14ac:dyDescent="0.3">
      <c r="B758" s="337">
        <v>75.400000000000006</v>
      </c>
      <c r="C758" s="338">
        <v>12.650638521877122</v>
      </c>
      <c r="D758" s="384">
        <f t="shared" si="57"/>
        <v>7.9047393399998792E-2</v>
      </c>
      <c r="E758" s="338">
        <v>1.3916673190522679</v>
      </c>
      <c r="F758" s="384">
        <f t="shared" si="56"/>
        <v>0.71856253740369846</v>
      </c>
    </row>
    <row r="759" spans="2:6" x14ac:dyDescent="0.3">
      <c r="B759" s="337">
        <v>75.5</v>
      </c>
      <c r="C759" s="338">
        <v>12.617468035971273</v>
      </c>
      <c r="D759" s="384">
        <f t="shared" si="57"/>
        <v>7.9255203749998768E-2</v>
      </c>
      <c r="E759" s="338">
        <v>1.3888104040264766</v>
      </c>
      <c r="F759" s="384">
        <f t="shared" si="56"/>
        <v>0.72004068885196493</v>
      </c>
    </row>
    <row r="760" spans="2:6" x14ac:dyDescent="0.3">
      <c r="B760" s="337">
        <v>75.599999999999994</v>
      </c>
      <c r="C760" s="338">
        <v>12.584380409993877</v>
      </c>
      <c r="D760" s="384">
        <f t="shared" si="57"/>
        <v>7.9463586399998745E-2</v>
      </c>
      <c r="E760" s="338">
        <v>1.3859620176035043</v>
      </c>
      <c r="F760" s="384">
        <f t="shared" si="56"/>
        <v>0.72152049428390597</v>
      </c>
    </row>
    <row r="761" spans="2:6" x14ac:dyDescent="0.3">
      <c r="B761" s="337">
        <v>75.7</v>
      </c>
      <c r="C761" s="338">
        <v>12.551375706807622</v>
      </c>
      <c r="D761" s="384">
        <f t="shared" si="57"/>
        <v>7.9672541349998738E-2</v>
      </c>
      <c r="E761" s="338">
        <v>1.3831221294908669</v>
      </c>
      <c r="F761" s="384">
        <f t="shared" si="56"/>
        <v>0.72300195237864084</v>
      </c>
    </row>
    <row r="762" spans="2:6" x14ac:dyDescent="0.3">
      <c r="B762" s="337">
        <v>75.8</v>
      </c>
      <c r="C762" s="338">
        <v>12.518453985053863</v>
      </c>
      <c r="D762" s="384">
        <f t="shared" si="57"/>
        <v>7.9882068599998718E-2</v>
      </c>
      <c r="E762" s="338">
        <v>1.3802907094886923</v>
      </c>
      <c r="F762" s="384">
        <f t="shared" si="56"/>
        <v>0.72448506182471861</v>
      </c>
    </row>
    <row r="763" spans="2:6" x14ac:dyDescent="0.3">
      <c r="B763" s="337">
        <v>75.900000000000006</v>
      </c>
      <c r="C763" s="338">
        <v>12.485615299203459</v>
      </c>
      <c r="D763" s="384">
        <f t="shared" si="57"/>
        <v>8.0092168149998713E-2</v>
      </c>
      <c r="E763" s="338">
        <v>1.3774677274898763</v>
      </c>
      <c r="F763" s="384">
        <f t="shared" si="56"/>
        <v>0.72596982132007837</v>
      </c>
    </row>
    <row r="764" spans="2:6" x14ac:dyDescent="0.3">
      <c r="B764" s="337">
        <v>76</v>
      </c>
      <c r="C764" s="338">
        <v>12.452859699607339</v>
      </c>
      <c r="D764" s="384">
        <f t="shared" si="57"/>
        <v>8.0302839999998696E-2</v>
      </c>
      <c r="E764" s="338">
        <v>1.3746531534802666</v>
      </c>
      <c r="F764" s="384">
        <f t="shared" si="56"/>
        <v>0.72745622957198941</v>
      </c>
    </row>
    <row r="765" spans="2:6" x14ac:dyDescent="0.3">
      <c r="B765" s="331">
        <v>76.099999999999994</v>
      </c>
      <c r="C765" s="332">
        <v>12.420187232546649</v>
      </c>
      <c r="D765" s="385">
        <f t="shared" si="57"/>
        <v>8.0514084149998666E-2</v>
      </c>
      <c r="E765" s="332">
        <v>1.3718469575387957</v>
      </c>
      <c r="F765" s="385">
        <f t="shared" si="56"/>
        <v>0.72894428529701361</v>
      </c>
    </row>
    <row r="766" spans="2:6" x14ac:dyDescent="0.3">
      <c r="B766" s="331">
        <v>76.2</v>
      </c>
      <c r="C766" s="332">
        <v>12.38759794028258</v>
      </c>
      <c r="D766" s="385">
        <f t="shared" si="57"/>
        <v>8.0725900599998679E-2</v>
      </c>
      <c r="E766" s="332">
        <v>1.3690491098376305</v>
      </c>
      <c r="F766" s="385">
        <f t="shared" si="56"/>
        <v>0.73043398722095532</v>
      </c>
    </row>
    <row r="767" spans="2:6" x14ac:dyDescent="0.3">
      <c r="B767" s="331">
        <v>76.3</v>
      </c>
      <c r="C767" s="332">
        <v>12.355091861105866</v>
      </c>
      <c r="D767" s="385">
        <f t="shared" si="57"/>
        <v>8.0938289349998666E-2</v>
      </c>
      <c r="E767" s="332">
        <v>1.366259580642305</v>
      </c>
      <c r="F767" s="385">
        <f t="shared" si="56"/>
        <v>0.73192533407881444</v>
      </c>
    </row>
    <row r="768" spans="2:6" x14ac:dyDescent="0.3">
      <c r="B768" s="331">
        <v>76.400000000000006</v>
      </c>
      <c r="C768" s="332">
        <v>12.322669029385859</v>
      </c>
      <c r="D768" s="385">
        <f t="shared" si="57"/>
        <v>8.115125039999864E-2</v>
      </c>
      <c r="E768" s="332">
        <v>1.3634783403118338</v>
      </c>
      <c r="F768" s="385">
        <f t="shared" si="56"/>
        <v>0.73341832461474632</v>
      </c>
    </row>
    <row r="769" spans="2:6" x14ac:dyDescent="0.3">
      <c r="B769" s="331">
        <v>76.5</v>
      </c>
      <c r="C769" s="332">
        <v>12.290329475619322</v>
      </c>
      <c r="D769" s="385">
        <f t="shared" si="57"/>
        <v>8.1364783749998615E-2</v>
      </c>
      <c r="E769" s="332">
        <v>1.3607053592988241</v>
      </c>
      <c r="F769" s="385">
        <f t="shared" si="56"/>
        <v>0.73491295758201702</v>
      </c>
    </row>
    <row r="770" spans="2:6" x14ac:dyDescent="0.3">
      <c r="B770" s="331">
        <v>76.599999999999994</v>
      </c>
      <c r="C770" s="332">
        <v>12.258073226478826</v>
      </c>
      <c r="D770" s="385">
        <f t="shared" si="57"/>
        <v>8.1578889399998591E-2</v>
      </c>
      <c r="E770" s="332">
        <v>1.3579406081496079</v>
      </c>
      <c r="F770" s="385">
        <f t="shared" si="56"/>
        <v>0.73640923174294481</v>
      </c>
    </row>
    <row r="771" spans="2:6" x14ac:dyDescent="0.3">
      <c r="B771" s="331">
        <v>76.7</v>
      </c>
      <c r="C771" s="332">
        <v>12.225900304860806</v>
      </c>
      <c r="D771" s="385">
        <f t="shared" si="57"/>
        <v>8.1793567349998542E-2</v>
      </c>
      <c r="E771" s="332">
        <v>1.3551840575042939</v>
      </c>
      <c r="F771" s="385">
        <f t="shared" si="56"/>
        <v>0.73790714586887873</v>
      </c>
    </row>
    <row r="772" spans="2:6" x14ac:dyDescent="0.3">
      <c r="B772" s="331">
        <v>76.8</v>
      </c>
      <c r="C772" s="332">
        <v>12.193810729933238</v>
      </c>
      <c r="D772" s="385">
        <f t="shared" si="57"/>
        <v>8.2008817599998535E-2</v>
      </c>
      <c r="E772" s="332">
        <v>1.3524356780969016</v>
      </c>
      <c r="F772" s="385">
        <f t="shared" si="56"/>
        <v>0.73940669874013065</v>
      </c>
    </row>
    <row r="773" spans="2:6" x14ac:dyDescent="0.3">
      <c r="B773" s="331">
        <v>76.900000000000006</v>
      </c>
      <c r="C773" s="332">
        <v>12.161804517183016</v>
      </c>
      <c r="D773" s="385">
        <f t="shared" si="57"/>
        <v>8.2224640149998515E-2</v>
      </c>
      <c r="E773" s="332">
        <v>1.3496954407554043</v>
      </c>
      <c r="F773" s="385">
        <f t="shared" ref="F773:F804" si="58">1/E773</f>
        <v>0.74090788914595063</v>
      </c>
    </row>
    <row r="774" spans="2:6" x14ac:dyDescent="0.3">
      <c r="B774" s="331">
        <v>77</v>
      </c>
      <c r="C774" s="332">
        <v>12.129881678462896</v>
      </c>
      <c r="D774" s="385">
        <f t="shared" ref="D774:D804" si="59">1/C774</f>
        <v>8.2441034999998483E-2</v>
      </c>
      <c r="E774" s="332">
        <v>1.3469633164018229</v>
      </c>
      <c r="F774" s="385">
        <f t="shared" si="58"/>
        <v>0.74241071588447205</v>
      </c>
    </row>
    <row r="775" spans="2:6" x14ac:dyDescent="0.3">
      <c r="B775" s="337">
        <v>77.099999999999994</v>
      </c>
      <c r="C775" s="338">
        <v>12.098042222038124</v>
      </c>
      <c r="D775" s="384">
        <f t="shared" si="59"/>
        <v>8.2658002149998508E-2</v>
      </c>
      <c r="E775" s="338">
        <v>1.344239276052285</v>
      </c>
      <c r="F775" s="384">
        <f t="shared" si="58"/>
        <v>0.74391517776267113</v>
      </c>
    </row>
    <row r="776" spans="2:6" x14ac:dyDescent="0.3">
      <c r="B776" s="337">
        <v>77.2</v>
      </c>
      <c r="C776" s="338">
        <v>12.066286152632737</v>
      </c>
      <c r="D776" s="384">
        <f t="shared" si="59"/>
        <v>8.2875541599998478E-2</v>
      </c>
      <c r="E776" s="338">
        <v>1.3415232908170764</v>
      </c>
      <c r="F776" s="384">
        <f t="shared" si="58"/>
        <v>0.74542127359632637</v>
      </c>
    </row>
    <row r="777" spans="2:6" x14ac:dyDescent="0.3">
      <c r="B777" s="337">
        <v>77.3</v>
      </c>
      <c r="C777" s="338">
        <v>12.034613471475415</v>
      </c>
      <c r="D777" s="384">
        <f t="shared" si="59"/>
        <v>8.3093653349998478E-2</v>
      </c>
      <c r="E777" s="338">
        <v>1.3388153319006912</v>
      </c>
      <c r="F777" s="384">
        <f t="shared" si="58"/>
        <v>0.74692900220997516</v>
      </c>
    </row>
    <row r="778" spans="2:6" x14ac:dyDescent="0.3">
      <c r="B778" s="337">
        <v>77.400000000000006</v>
      </c>
      <c r="C778" s="338">
        <v>12.003024176345082</v>
      </c>
      <c r="D778" s="384">
        <f t="shared" si="59"/>
        <v>8.3312337399998451E-2</v>
      </c>
      <c r="E778" s="338">
        <v>1.3361153706018807</v>
      </c>
      <c r="F778" s="384">
        <f t="shared" si="58"/>
        <v>0.74843836243686757</v>
      </c>
    </row>
    <row r="779" spans="2:6" x14ac:dyDescent="0.3">
      <c r="B779" s="337">
        <v>77.5</v>
      </c>
      <c r="C779" s="338">
        <v>11.971518261616055</v>
      </c>
      <c r="D779" s="384">
        <f t="shared" si="59"/>
        <v>8.3531593749998453E-2</v>
      </c>
      <c r="E779" s="338">
        <v>1.3334233783136928</v>
      </c>
      <c r="F779" s="384">
        <f t="shared" si="58"/>
        <v>0.74994935311892086</v>
      </c>
    </row>
    <row r="780" spans="2:6" x14ac:dyDescent="0.3">
      <c r="B780" s="337">
        <v>77.599999999999994</v>
      </c>
      <c r="C780" s="338">
        <v>11.940095718302913</v>
      </c>
      <c r="D780" s="384">
        <f t="shared" si="59"/>
        <v>8.3751422399998429E-2</v>
      </c>
      <c r="E780" s="338">
        <v>1.3307393265234615</v>
      </c>
      <c r="F780" s="384">
        <f t="shared" si="58"/>
        <v>0.75146197310669893</v>
      </c>
    </row>
    <row r="781" spans="2:6" x14ac:dyDescent="0.3">
      <c r="B781" s="337">
        <v>77.7</v>
      </c>
      <c r="C781" s="338">
        <v>11.908756534104949</v>
      </c>
      <c r="D781" s="384">
        <f t="shared" si="59"/>
        <v>8.3971823349998406E-2</v>
      </c>
      <c r="E781" s="338">
        <v>1.3280631868128783</v>
      </c>
      <c r="F781" s="384">
        <f t="shared" si="58"/>
        <v>0.75297622125934149</v>
      </c>
    </row>
    <row r="782" spans="2:6" x14ac:dyDescent="0.3">
      <c r="B782" s="337">
        <v>77.8</v>
      </c>
      <c r="C782" s="338">
        <v>11.877500693450289</v>
      </c>
      <c r="D782" s="384">
        <f t="shared" si="59"/>
        <v>8.4192796599998385E-2</v>
      </c>
      <c r="E782" s="338">
        <v>1.3253949308579627</v>
      </c>
      <c r="F782" s="384">
        <f t="shared" si="58"/>
        <v>0.75449209644454729</v>
      </c>
    </row>
    <row r="783" spans="2:6" x14ac:dyDescent="0.3">
      <c r="B783" s="337">
        <v>77.900000000000006</v>
      </c>
      <c r="C783" s="338">
        <v>11.846328177539663</v>
      </c>
      <c r="D783" s="384">
        <f t="shared" si="59"/>
        <v>8.4414342149998392E-2</v>
      </c>
      <c r="E783" s="338">
        <v>1.3227345304291043</v>
      </c>
      <c r="F783" s="384">
        <f t="shared" si="58"/>
        <v>0.75600959753851216</v>
      </c>
    </row>
    <row r="784" spans="2:6" x14ac:dyDescent="0.3">
      <c r="B784" s="337">
        <v>78</v>
      </c>
      <c r="C784" s="338">
        <v>11.81523896438981</v>
      </c>
      <c r="D784" s="384">
        <f t="shared" si="59"/>
        <v>8.4636459999998345E-2</v>
      </c>
      <c r="E784" s="338">
        <v>1.320081957391017</v>
      </c>
      <c r="F784" s="384">
        <f t="shared" si="58"/>
        <v>0.75752872342591482</v>
      </c>
    </row>
    <row r="785" spans="2:6" x14ac:dyDescent="0.3">
      <c r="B785" s="331">
        <v>78.099999999999994</v>
      </c>
      <c r="C785" s="332">
        <v>11.784233028876494</v>
      </c>
      <c r="D785" s="385">
        <f t="shared" si="59"/>
        <v>8.4859150149998328E-2</v>
      </c>
      <c r="E785" s="332">
        <v>1.3174371837027887</v>
      </c>
      <c r="F785" s="385">
        <f t="shared" si="58"/>
        <v>0.75904947299984371</v>
      </c>
    </row>
    <row r="786" spans="2:6" x14ac:dyDescent="0.3">
      <c r="B786" s="331">
        <v>78.2</v>
      </c>
      <c r="C786" s="332">
        <v>11.75331034277723</v>
      </c>
      <c r="D786" s="385">
        <f t="shared" si="59"/>
        <v>8.5082412599998325E-2</v>
      </c>
      <c r="E786" s="332">
        <v>1.3148001814178216</v>
      </c>
      <c r="F786" s="385">
        <f t="shared" si="58"/>
        <v>0.76057184516178333</v>
      </c>
    </row>
    <row r="787" spans="2:6" x14ac:dyDescent="0.3">
      <c r="B787" s="331">
        <v>78.3</v>
      </c>
      <c r="C787" s="332">
        <v>11.722470874813601</v>
      </c>
      <c r="D787" s="385">
        <f t="shared" si="59"/>
        <v>8.5306247349998296E-2</v>
      </c>
      <c r="E787" s="332">
        <v>1.3121709226838247</v>
      </c>
      <c r="F787" s="385">
        <f t="shared" si="58"/>
        <v>0.76209583882156784</v>
      </c>
    </row>
    <row r="788" spans="2:6" x14ac:dyDescent="0.3">
      <c r="B788" s="331">
        <v>78.400000000000006</v>
      </c>
      <c r="C788" s="332">
        <v>11.691714590693227</v>
      </c>
      <c r="D788" s="385">
        <f t="shared" si="59"/>
        <v>8.5530654399998296E-2</v>
      </c>
      <c r="E788" s="332">
        <v>1.3095493797428044</v>
      </c>
      <c r="F788" s="385">
        <f t="shared" si="58"/>
        <v>0.76362145289733185</v>
      </c>
    </row>
    <row r="789" spans="2:6" x14ac:dyDescent="0.3">
      <c r="B789" s="331">
        <v>78.5</v>
      </c>
      <c r="C789" s="332">
        <v>11.661041453151409</v>
      </c>
      <c r="D789" s="385">
        <f t="shared" si="59"/>
        <v>8.5755633749998283E-2</v>
      </c>
      <c r="E789" s="332">
        <v>1.3069355249310295</v>
      </c>
      <c r="F789" s="385">
        <f t="shared" si="58"/>
        <v>0.76514868631547273</v>
      </c>
    </row>
    <row r="790" spans="2:6" x14ac:dyDescent="0.3">
      <c r="B790" s="331">
        <v>78.599999999999994</v>
      </c>
      <c r="C790" s="332">
        <v>11.630451421992378</v>
      </c>
      <c r="D790" s="385">
        <f t="shared" si="59"/>
        <v>8.5981185399998258E-2</v>
      </c>
      <c r="E790" s="332">
        <v>1.3043293306789534</v>
      </c>
      <c r="F790" s="385">
        <f t="shared" si="58"/>
        <v>0.76667753801063543</v>
      </c>
    </row>
    <row r="791" spans="2:6" x14ac:dyDescent="0.3">
      <c r="B791" s="331">
        <v>78.7</v>
      </c>
      <c r="C791" s="332">
        <v>11.599944454130217</v>
      </c>
      <c r="D791" s="385">
        <f t="shared" si="59"/>
        <v>8.6207309349998235E-2</v>
      </c>
      <c r="E791" s="332">
        <v>1.3017307695112286</v>
      </c>
      <c r="F791" s="385">
        <f t="shared" si="58"/>
        <v>0.76820800692563962</v>
      </c>
    </row>
    <row r="792" spans="2:6" x14ac:dyDescent="0.3">
      <c r="B792" s="331">
        <v>78.8</v>
      </c>
      <c r="C792" s="332">
        <v>11.569520503629422</v>
      </c>
      <c r="D792" s="385">
        <f t="shared" si="59"/>
        <v>8.6434005599998254E-2</v>
      </c>
      <c r="E792" s="332">
        <v>1.2991398140466246</v>
      </c>
      <c r="F792" s="385">
        <f t="shared" si="58"/>
        <v>0.7697400920114601</v>
      </c>
    </row>
    <row r="793" spans="2:6" x14ac:dyDescent="0.3">
      <c r="B793" s="331">
        <v>78.900000000000006</v>
      </c>
      <c r="C793" s="332">
        <v>11.539179521745131</v>
      </c>
      <c r="D793" s="385">
        <f t="shared" si="59"/>
        <v>8.6661274149998205E-2</v>
      </c>
      <c r="E793" s="332">
        <v>1.2965564369979776</v>
      </c>
      <c r="F793" s="385">
        <f t="shared" si="58"/>
        <v>0.77127379222718695</v>
      </c>
    </row>
    <row r="794" spans="2:6" x14ac:dyDescent="0.3">
      <c r="B794" s="331">
        <v>79</v>
      </c>
      <c r="C794" s="332">
        <v>11.508921456962941</v>
      </c>
      <c r="D794" s="385">
        <f t="shared" si="59"/>
        <v>8.6889114999998213E-2</v>
      </c>
      <c r="E794" s="332">
        <v>1.2939806111721257</v>
      </c>
      <c r="F794" s="385">
        <f t="shared" si="58"/>
        <v>0.77280910653998947</v>
      </c>
    </row>
    <row r="795" spans="2:6" x14ac:dyDescent="0.3">
      <c r="B795" s="337">
        <v>79.099999999999994</v>
      </c>
      <c r="C795" s="338">
        <v>11.47874625503847</v>
      </c>
      <c r="D795" s="384">
        <f t="shared" si="59"/>
        <v>8.711752814999818E-2</v>
      </c>
      <c r="E795" s="338">
        <v>1.2914123094698693</v>
      </c>
      <c r="F795" s="384">
        <f t="shared" si="58"/>
        <v>0.77434603392506351</v>
      </c>
    </row>
    <row r="796" spans="2:6" x14ac:dyDescent="0.3">
      <c r="B796" s="337">
        <v>79.2</v>
      </c>
      <c r="C796" s="338">
        <v>11.448653859036465</v>
      </c>
      <c r="D796" s="384">
        <f t="shared" si="59"/>
        <v>8.7346513599998163E-2</v>
      </c>
      <c r="E796" s="338">
        <v>1.2888515048858604</v>
      </c>
      <c r="F796" s="384">
        <f t="shared" si="58"/>
        <v>0.77588457336561756</v>
      </c>
    </row>
    <row r="797" spans="2:6" x14ac:dyDescent="0.3">
      <c r="B797" s="337">
        <v>79.3</v>
      </c>
      <c r="C797" s="338">
        <v>11.418644209369656</v>
      </c>
      <c r="D797" s="384">
        <f t="shared" si="59"/>
        <v>8.7576071349998133E-2</v>
      </c>
      <c r="E797" s="338">
        <v>1.2862981705085619</v>
      </c>
      <c r="F797" s="384">
        <f t="shared" si="58"/>
        <v>0.77742472385281514</v>
      </c>
    </row>
    <row r="798" spans="2:6" x14ac:dyDescent="0.3">
      <c r="B798" s="337">
        <v>79.400000000000006</v>
      </c>
      <c r="C798" s="338">
        <v>11.388717243837192</v>
      </c>
      <c r="D798" s="384">
        <f t="shared" si="59"/>
        <v>8.7806201399998118E-2</v>
      </c>
      <c r="E798" s="338">
        <v>1.2837522795201477</v>
      </c>
      <c r="F798" s="384">
        <f t="shared" si="58"/>
        <v>0.77896648438574834</v>
      </c>
    </row>
    <row r="799" spans="2:6" x14ac:dyDescent="0.3">
      <c r="B799" s="337">
        <v>79.5</v>
      </c>
      <c r="C799" s="338">
        <v>11.358872897662776</v>
      </c>
      <c r="D799" s="384">
        <f t="shared" si="59"/>
        <v>8.8036903749998119E-2</v>
      </c>
      <c r="E799" s="338">
        <v>1.2812138051964232</v>
      </c>
      <c r="F799" s="384">
        <f t="shared" si="58"/>
        <v>0.78050985397139838</v>
      </c>
    </row>
    <row r="800" spans="2:6" x14ac:dyDescent="0.3">
      <c r="B800" s="337">
        <v>79.599999999999994</v>
      </c>
      <c r="C800" s="338">
        <v>11.32911110353243</v>
      </c>
      <c r="D800" s="384">
        <f t="shared" si="59"/>
        <v>8.8268178399998107E-2</v>
      </c>
      <c r="E800" s="338">
        <v>1.2786827209067271</v>
      </c>
      <c r="F800" s="384">
        <f t="shared" si="58"/>
        <v>0.78205483162460321</v>
      </c>
    </row>
    <row r="801" spans="2:6" x14ac:dyDescent="0.3">
      <c r="B801" s="337">
        <v>79.7</v>
      </c>
      <c r="C801" s="338">
        <v>11.299431791631934</v>
      </c>
      <c r="D801" s="384">
        <f t="shared" si="59"/>
        <v>8.8500025349998054E-2</v>
      </c>
      <c r="E801" s="338">
        <v>1.2761590001138534</v>
      </c>
      <c r="F801" s="384">
        <f t="shared" si="58"/>
        <v>0.78360141636801084</v>
      </c>
    </row>
    <row r="802" spans="2:6" x14ac:dyDescent="0.3">
      <c r="B802" s="337">
        <v>79.8</v>
      </c>
      <c r="C802" s="338">
        <v>11.26983488968388</v>
      </c>
      <c r="D802" s="384">
        <f t="shared" si="59"/>
        <v>8.8732444599998045E-2</v>
      </c>
      <c r="E802" s="338">
        <v>1.2736426163739329</v>
      </c>
      <c r="F802" s="384">
        <f t="shared" si="58"/>
        <v>0.78514960723205474</v>
      </c>
    </row>
    <row r="803" spans="2:6" x14ac:dyDescent="0.3">
      <c r="B803" s="337">
        <v>79.900000000000006</v>
      </c>
      <c r="C803" s="338">
        <v>11.24032032298447</v>
      </c>
      <c r="D803" s="384">
        <f t="shared" si="59"/>
        <v>8.8965436149998023E-2</v>
      </c>
      <c r="E803" s="338">
        <v>1.2711335433363413</v>
      </c>
      <c r="F803" s="384">
        <f t="shared" si="58"/>
        <v>0.78669940325491083</v>
      </c>
    </row>
    <row r="804" spans="2:6" x14ac:dyDescent="0.3">
      <c r="B804" s="337">
        <v>80</v>
      </c>
      <c r="C804" s="338">
        <v>11.210888014439876</v>
      </c>
      <c r="D804" s="384">
        <f t="shared" si="59"/>
        <v>8.9198999999998002E-2</v>
      </c>
      <c r="E804" s="338">
        <v>1.2686317547435884</v>
      </c>
      <c r="F804" s="384">
        <f t="shared" si="58"/>
        <v>0.78825080348246268</v>
      </c>
    </row>
  </sheetData>
  <mergeCells count="5">
    <mergeCell ref="E3:F3"/>
    <mergeCell ref="C3:D3"/>
    <mergeCell ref="B2:F2"/>
    <mergeCell ref="I2:O2"/>
    <mergeCell ref="R2:U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2"/>
  <sheetViews>
    <sheetView topLeftCell="A13" workbookViewId="0">
      <selection activeCell="I35" sqref="I35"/>
    </sheetView>
  </sheetViews>
  <sheetFormatPr defaultRowHeight="14.4" x14ac:dyDescent="0.3"/>
  <cols>
    <col min="1" max="1" width="12.21875" customWidth="1"/>
    <col min="2" max="3" width="12.77734375" style="1" customWidth="1"/>
    <col min="4" max="4" width="13.109375" customWidth="1"/>
  </cols>
  <sheetData>
    <row r="1" spans="1:7" x14ac:dyDescent="0.3">
      <c r="A1" t="s">
        <v>19</v>
      </c>
    </row>
    <row r="2" spans="1:7" x14ac:dyDescent="0.3">
      <c r="A2" t="s">
        <v>20</v>
      </c>
    </row>
    <row r="4" spans="1:7" x14ac:dyDescent="0.3">
      <c r="A4" t="s">
        <v>21</v>
      </c>
      <c r="B4" s="3" t="s">
        <v>22</v>
      </c>
      <c r="C4" s="3"/>
    </row>
    <row r="5" spans="1:7" x14ac:dyDescent="0.3">
      <c r="A5" t="s">
        <v>23</v>
      </c>
    </row>
    <row r="6" spans="1:7" x14ac:dyDescent="0.3">
      <c r="A6" t="s">
        <v>24</v>
      </c>
      <c r="B6" s="1" t="s">
        <v>25</v>
      </c>
    </row>
    <row r="7" spans="1:7" x14ac:dyDescent="0.3">
      <c r="A7" t="s">
        <v>26</v>
      </c>
      <c r="B7" s="1" t="s">
        <v>27</v>
      </c>
    </row>
    <row r="8" spans="1:7" x14ac:dyDescent="0.3">
      <c r="A8" t="s">
        <v>28</v>
      </c>
      <c r="B8" s="1" t="s">
        <v>29</v>
      </c>
    </row>
    <row r="9" spans="1:7" ht="15" thickBot="1" x14ac:dyDescent="0.35">
      <c r="A9" t="s">
        <v>30</v>
      </c>
      <c r="B9" s="1" t="s">
        <v>31</v>
      </c>
    </row>
    <row r="10" spans="1:7" ht="15" thickBot="1" x14ac:dyDescent="0.35">
      <c r="A10" t="s">
        <v>34</v>
      </c>
      <c r="E10" s="837" t="s">
        <v>35</v>
      </c>
      <c r="F10" s="837"/>
      <c r="G10" s="137">
        <f>(B37/B27)^(1/10)-1</f>
        <v>2.0270899678245469E-2</v>
      </c>
    </row>
    <row r="11" spans="1:7" ht="28.8" x14ac:dyDescent="0.3">
      <c r="A11" s="135" t="s">
        <v>32</v>
      </c>
      <c r="B11" s="135" t="s">
        <v>33</v>
      </c>
      <c r="C11" s="141" t="s">
        <v>209</v>
      </c>
      <c r="D11" s="26" t="s">
        <v>210</v>
      </c>
    </row>
    <row r="12" spans="1:7" x14ac:dyDescent="0.3">
      <c r="A12" s="1">
        <v>1990</v>
      </c>
      <c r="B12" s="5">
        <v>127.9</v>
      </c>
      <c r="C12" s="5">
        <f t="shared" ref="C12:C62" si="0">B12/B$37</f>
        <v>0.55573177143304064</v>
      </c>
      <c r="D12" s="5">
        <f t="shared" ref="D12:D36" si="1">B$37/B12</f>
        <v>1.799429241594996</v>
      </c>
    </row>
    <row r="13" spans="1:7" x14ac:dyDescent="0.3">
      <c r="A13" s="1">
        <v>1991</v>
      </c>
      <c r="B13" s="5">
        <v>132.9</v>
      </c>
      <c r="C13" s="5">
        <f t="shared" si="0"/>
        <v>0.57745701660243243</v>
      </c>
      <c r="D13" s="5">
        <f t="shared" si="1"/>
        <v>1.7317306245297215</v>
      </c>
    </row>
    <row r="14" spans="1:7" x14ac:dyDescent="0.3">
      <c r="A14" s="1">
        <v>1992</v>
      </c>
      <c r="B14" s="5">
        <v>136.5</v>
      </c>
      <c r="C14" s="5">
        <f t="shared" si="0"/>
        <v>0.59309919312439441</v>
      </c>
      <c r="D14" s="5">
        <f t="shared" si="1"/>
        <v>1.686058608058608</v>
      </c>
    </row>
    <row r="15" spans="1:7" x14ac:dyDescent="0.3">
      <c r="A15" s="1">
        <v>1993</v>
      </c>
      <c r="B15" s="5">
        <v>140.80000000000001</v>
      </c>
      <c r="C15" s="5">
        <f t="shared" si="0"/>
        <v>0.6117829039700714</v>
      </c>
      <c r="D15" s="5">
        <f t="shared" si="1"/>
        <v>1.6345667613636361</v>
      </c>
    </row>
    <row r="16" spans="1:7" x14ac:dyDescent="0.3">
      <c r="A16" s="1">
        <v>1994</v>
      </c>
      <c r="B16" s="5">
        <v>144.69999999999999</v>
      </c>
      <c r="C16" s="5">
        <f t="shared" si="0"/>
        <v>0.62872859520219682</v>
      </c>
      <c r="D16" s="5">
        <f t="shared" si="1"/>
        <v>1.5905114029025571</v>
      </c>
    </row>
    <row r="17" spans="1:4" x14ac:dyDescent="0.3">
      <c r="A17" s="1">
        <v>1995</v>
      </c>
      <c r="B17" s="5">
        <v>149</v>
      </c>
      <c r="C17" s="5">
        <f t="shared" si="0"/>
        <v>0.64741230604787381</v>
      </c>
      <c r="D17" s="5">
        <f t="shared" si="1"/>
        <v>1.5446107382550336</v>
      </c>
    </row>
    <row r="18" spans="1:4" x14ac:dyDescent="0.3">
      <c r="A18" s="1">
        <v>1996</v>
      </c>
      <c r="B18" s="5">
        <v>153.6</v>
      </c>
      <c r="C18" s="5">
        <f t="shared" si="0"/>
        <v>0.66739953160371412</v>
      </c>
      <c r="D18" s="5">
        <f t="shared" si="1"/>
        <v>1.4983528645833333</v>
      </c>
    </row>
    <row r="19" spans="1:4" x14ac:dyDescent="0.3">
      <c r="A19" s="1">
        <v>1997</v>
      </c>
      <c r="B19" s="5">
        <v>156.9</v>
      </c>
      <c r="C19" s="5">
        <f t="shared" si="0"/>
        <v>0.68173819341551278</v>
      </c>
      <c r="D19" s="5">
        <f t="shared" si="1"/>
        <v>1.4668387507966856</v>
      </c>
    </row>
    <row r="20" spans="1:4" x14ac:dyDescent="0.3">
      <c r="A20" s="1">
        <v>1998</v>
      </c>
      <c r="B20" s="5">
        <v>158.9</v>
      </c>
      <c r="C20" s="5">
        <f t="shared" si="0"/>
        <v>0.69042829148326945</v>
      </c>
      <c r="D20" s="5">
        <f t="shared" si="1"/>
        <v>1.4483763373190686</v>
      </c>
    </row>
    <row r="21" spans="1:4" x14ac:dyDescent="0.3">
      <c r="A21" s="1">
        <v>1999</v>
      </c>
      <c r="B21" s="5">
        <v>162</v>
      </c>
      <c r="C21" s="5">
        <f t="shared" si="0"/>
        <v>0.70389794348829227</v>
      </c>
      <c r="D21" s="5">
        <f t="shared" si="1"/>
        <v>1.4206604938271605</v>
      </c>
    </row>
    <row r="22" spans="1:4" x14ac:dyDescent="0.3">
      <c r="A22" s="1">
        <v>2000</v>
      </c>
      <c r="B22" s="5">
        <v>167.2</v>
      </c>
      <c r="C22" s="5">
        <f t="shared" si="0"/>
        <v>0.72649219846445967</v>
      </c>
      <c r="D22" s="5">
        <f t="shared" si="1"/>
        <v>1.3764772727272727</v>
      </c>
    </row>
    <row r="23" spans="1:4" x14ac:dyDescent="0.3">
      <c r="A23" s="1">
        <v>2001</v>
      </c>
      <c r="B23" s="5">
        <v>171.1</v>
      </c>
      <c r="C23" s="5">
        <f t="shared" si="0"/>
        <v>0.7434378896965852</v>
      </c>
      <c r="D23" s="5">
        <f t="shared" si="1"/>
        <v>1.3451022793687901</v>
      </c>
    </row>
    <row r="24" spans="1:4" x14ac:dyDescent="0.3">
      <c r="A24" s="1">
        <v>2002</v>
      </c>
      <c r="B24" s="5">
        <v>173.3</v>
      </c>
      <c r="C24" s="5">
        <f t="shared" si="0"/>
        <v>0.75299699757111771</v>
      </c>
      <c r="D24" s="5">
        <f t="shared" si="1"/>
        <v>1.3280265435660703</v>
      </c>
    </row>
    <row r="25" spans="1:4" x14ac:dyDescent="0.3">
      <c r="A25" s="1">
        <v>2003</v>
      </c>
      <c r="B25" s="5">
        <v>177.3</v>
      </c>
      <c r="C25" s="5">
        <f t="shared" si="0"/>
        <v>0.77037719370663105</v>
      </c>
      <c r="D25" s="5">
        <f t="shared" si="1"/>
        <v>1.2980654258319231</v>
      </c>
    </row>
    <row r="26" spans="1:4" x14ac:dyDescent="0.3">
      <c r="A26" s="1">
        <v>2004</v>
      </c>
      <c r="B26" s="5">
        <v>181.8</v>
      </c>
      <c r="C26" s="5">
        <f t="shared" si="0"/>
        <v>0.78992991435908366</v>
      </c>
      <c r="D26" s="5">
        <f t="shared" si="1"/>
        <v>1.2659350935093507</v>
      </c>
    </row>
    <row r="27" spans="1:4" x14ac:dyDescent="0.3">
      <c r="A27" s="1">
        <v>2005</v>
      </c>
      <c r="B27" s="5">
        <v>188.3</v>
      </c>
      <c r="C27" s="5">
        <f t="shared" si="0"/>
        <v>0.81817273307929284</v>
      </c>
      <c r="D27" s="5">
        <f t="shared" si="1"/>
        <v>1.222235793945831</v>
      </c>
    </row>
    <row r="28" spans="1:4" x14ac:dyDescent="0.3">
      <c r="A28" s="1">
        <v>2006</v>
      </c>
      <c r="B28" s="5">
        <v>194.7</v>
      </c>
      <c r="C28" s="5">
        <f t="shared" si="0"/>
        <v>0.8459810468961142</v>
      </c>
      <c r="D28" s="5">
        <f t="shared" si="1"/>
        <v>1.1820595788392398</v>
      </c>
    </row>
    <row r="29" spans="1:4" x14ac:dyDescent="0.3">
      <c r="A29" s="1">
        <v>2007</v>
      </c>
      <c r="B29" s="5">
        <v>200.36099999999999</v>
      </c>
      <c r="C29" s="5">
        <f t="shared" si="0"/>
        <v>0.87057836947689948</v>
      </c>
      <c r="D29" s="5">
        <f t="shared" si="1"/>
        <v>1.1486616656934234</v>
      </c>
    </row>
    <row r="30" spans="1:4" x14ac:dyDescent="0.3">
      <c r="A30" s="1">
        <v>2008</v>
      </c>
      <c r="B30" s="5">
        <v>208.68100000000001</v>
      </c>
      <c r="C30" s="5">
        <f t="shared" si="0"/>
        <v>0.90672917743876746</v>
      </c>
      <c r="D30" s="5">
        <f t="shared" si="1"/>
        <v>1.1028651386566097</v>
      </c>
    </row>
    <row r="31" spans="1:4" x14ac:dyDescent="0.3">
      <c r="A31" s="1">
        <v>2009</v>
      </c>
      <c r="B31" s="5">
        <v>207.845</v>
      </c>
      <c r="C31" s="5">
        <f t="shared" si="0"/>
        <v>0.90309671644644518</v>
      </c>
      <c r="D31" s="5">
        <f t="shared" si="1"/>
        <v>1.1073011138107725</v>
      </c>
    </row>
    <row r="32" spans="1:4" x14ac:dyDescent="0.3">
      <c r="A32" s="1">
        <v>2010</v>
      </c>
      <c r="B32" s="5">
        <v>211.33799999999999</v>
      </c>
      <c r="C32" s="5">
        <f t="shared" si="0"/>
        <v>0.91827397272178213</v>
      </c>
      <c r="D32" s="5">
        <f t="shared" si="1"/>
        <v>1.0889996119959495</v>
      </c>
    </row>
    <row r="33" spans="1:4" x14ac:dyDescent="0.3">
      <c r="A33" s="1">
        <v>2011</v>
      </c>
      <c r="B33" s="5">
        <v>218.61799999999999</v>
      </c>
      <c r="C33" s="5">
        <f t="shared" si="0"/>
        <v>0.94990592968841658</v>
      </c>
      <c r="D33" s="5">
        <f t="shared" si="1"/>
        <v>1.0527358223019148</v>
      </c>
    </row>
    <row r="34" spans="1:4" x14ac:dyDescent="0.3">
      <c r="A34" s="1">
        <v>2012</v>
      </c>
      <c r="B34" s="5">
        <v>223.24199999999999</v>
      </c>
      <c r="C34" s="5">
        <f t="shared" si="0"/>
        <v>0.96999743642107006</v>
      </c>
      <c r="D34" s="5">
        <f t="shared" si="1"/>
        <v>1.0309305596617124</v>
      </c>
    </row>
    <row r="35" spans="1:4" x14ac:dyDescent="0.3">
      <c r="A35" s="1">
        <v>2013</v>
      </c>
      <c r="B35" s="5">
        <v>226.721</v>
      </c>
      <c r="C35" s="5">
        <f t="shared" si="0"/>
        <v>0.98511386200993278</v>
      </c>
      <c r="D35" s="5">
        <f t="shared" si="1"/>
        <v>1.0151110836667092</v>
      </c>
    </row>
    <row r="36" spans="1:4" ht="15" thickBot="1" x14ac:dyDescent="0.35">
      <c r="A36" s="1">
        <v>2014</v>
      </c>
      <c r="B36" s="5">
        <v>230.55199999999999</v>
      </c>
      <c r="C36" s="5">
        <f t="shared" si="0"/>
        <v>1.0017597448587208</v>
      </c>
      <c r="D36" s="5">
        <f t="shared" si="1"/>
        <v>0.99824334640341439</v>
      </c>
    </row>
    <row r="37" spans="1:4" ht="15" thickBot="1" x14ac:dyDescent="0.35">
      <c r="A37" s="136">
        <v>2015</v>
      </c>
      <c r="B37" s="138">
        <v>230.14699999999999</v>
      </c>
      <c r="C37" s="138">
        <f t="shared" si="0"/>
        <v>1</v>
      </c>
      <c r="D37" s="139">
        <f>B$37/B37</f>
        <v>1</v>
      </c>
    </row>
    <row r="38" spans="1:4" x14ac:dyDescent="0.3">
      <c r="A38" s="1">
        <v>2016</v>
      </c>
      <c r="B38" s="5">
        <f t="shared" ref="B38:B47" si="2">B37*(1+$G$10)</f>
        <v>234.81228674824916</v>
      </c>
      <c r="C38" s="5">
        <f t="shared" si="0"/>
        <v>1.0202708996782455</v>
      </c>
      <c r="D38" s="5">
        <f t="shared" ref="D38:D62" si="3">B$37/B38</f>
        <v>0.98013184568467238</v>
      </c>
    </row>
    <row r="39" spans="1:4" x14ac:dyDescent="0.3">
      <c r="A39" s="150">
        <v>2017</v>
      </c>
      <c r="B39" s="151">
        <f t="shared" si="2"/>
        <v>239.57214305614232</v>
      </c>
      <c r="C39" s="5">
        <f t="shared" si="0"/>
        <v>1.0409527087302564</v>
      </c>
      <c r="D39" s="5">
        <f t="shared" si="3"/>
        <v>0.9606584349252425</v>
      </c>
    </row>
    <row r="40" spans="1:4" x14ac:dyDescent="0.3">
      <c r="A40" s="1">
        <v>2018</v>
      </c>
      <c r="B40" s="5">
        <f t="shared" si="2"/>
        <v>244.42848593373566</v>
      </c>
      <c r="C40" s="5">
        <f t="shared" si="0"/>
        <v>1.0620537566587254</v>
      </c>
      <c r="D40" s="5">
        <f t="shared" si="3"/>
        <v>0.94157192489582675</v>
      </c>
    </row>
    <row r="41" spans="1:4" x14ac:dyDescent="0.3">
      <c r="A41" s="1">
        <v>2019</v>
      </c>
      <c r="B41" s="5">
        <f t="shared" si="2"/>
        <v>249.38327125060385</v>
      </c>
      <c r="C41" s="5">
        <f t="shared" si="0"/>
        <v>1.0835825418128582</v>
      </c>
      <c r="D41" s="5">
        <f t="shared" si="3"/>
        <v>0.92286462859301643</v>
      </c>
    </row>
    <row r="42" spans="1:4" x14ac:dyDescent="0.3">
      <c r="A42" s="1">
        <v>2020</v>
      </c>
      <c r="B42" s="5">
        <f t="shared" si="2"/>
        <v>254.43849452355752</v>
      </c>
      <c r="C42" s="5">
        <f>B42/B$37</f>
        <v>1.1055477348110447</v>
      </c>
      <c r="D42" s="5">
        <f t="shared" si="3"/>
        <v>0.90452901173997291</v>
      </c>
    </row>
    <row r="43" spans="1:4" x14ac:dyDescent="0.3">
      <c r="A43" s="1">
        <v>2021</v>
      </c>
      <c r="B43" s="5">
        <f t="shared" si="2"/>
        <v>259.59619172032836</v>
      </c>
      <c r="C43" s="5">
        <f t="shared" si="0"/>
        <v>1.127958182032911</v>
      </c>
      <c r="D43" s="5">
        <f t="shared" si="3"/>
        <v>0.88655768975203242</v>
      </c>
    </row>
    <row r="44" spans="1:4" x14ac:dyDescent="0.3">
      <c r="A44" s="1">
        <v>2022</v>
      </c>
      <c r="B44" s="5">
        <f t="shared" si="2"/>
        <v>264.85844007954574</v>
      </c>
      <c r="C44" s="5">
        <f t="shared" si="0"/>
        <v>1.1508229091821565</v>
      </c>
      <c r="D44" s="5">
        <f t="shared" si="3"/>
        <v>0.86894342476259867</v>
      </c>
    </row>
    <row r="45" spans="1:4" x14ac:dyDescent="0.3">
      <c r="A45" s="1">
        <v>2023</v>
      </c>
      <c r="B45" s="5">
        <f t="shared" si="2"/>
        <v>270.22735894733478</v>
      </c>
      <c r="C45" s="5">
        <f t="shared" si="0"/>
        <v>1.1741511249216143</v>
      </c>
      <c r="D45" s="5">
        <f t="shared" si="3"/>
        <v>0.85167912270812618</v>
      </c>
    </row>
    <row r="46" spans="1:4" x14ac:dyDescent="0.3">
      <c r="A46" s="1">
        <v>2024</v>
      </c>
      <c r="B46" s="5">
        <f t="shared" si="2"/>
        <v>275.70511063087343</v>
      </c>
      <c r="C46" s="5">
        <f t="shared" si="0"/>
        <v>1.1979522245819996</v>
      </c>
      <c r="D46" s="5">
        <f t="shared" si="3"/>
        <v>0.83475783047101826</v>
      </c>
    </row>
    <row r="47" spans="1:4" x14ac:dyDescent="0.3">
      <c r="A47" s="1">
        <v>2025</v>
      </c>
      <c r="B47" s="5">
        <f t="shared" si="2"/>
        <v>281.29390126925142</v>
      </c>
      <c r="C47" s="5">
        <f t="shared" si="0"/>
        <v>1.2222357939458321</v>
      </c>
      <c r="D47" s="5">
        <f t="shared" si="3"/>
        <v>0.81817273307929206</v>
      </c>
    </row>
    <row r="48" spans="1:4" x14ac:dyDescent="0.3">
      <c r="A48" s="1">
        <v>2026</v>
      </c>
      <c r="B48" s="5">
        <f t="shared" ref="B48:B62" si="4">B47*(1+$G$10)</f>
        <v>286.99598172198273</v>
      </c>
      <c r="C48" s="5">
        <f t="shared" si="0"/>
        <v>1.2470116131080689</v>
      </c>
      <c r="D48" s="5">
        <f t="shared" si="3"/>
        <v>0.80191715096187932</v>
      </c>
    </row>
    <row r="49" spans="1:4" x14ac:dyDescent="0.3">
      <c r="A49" s="1">
        <v>2027</v>
      </c>
      <c r="B49" s="5">
        <f t="shared" si="4"/>
        <v>292.81364847552862</v>
      </c>
      <c r="C49" s="5">
        <f t="shared" si="0"/>
        <v>1.2722896604149898</v>
      </c>
      <c r="D49" s="5">
        <f t="shared" si="3"/>
        <v>0.78598453725846085</v>
      </c>
    </row>
    <row r="50" spans="1:4" x14ac:dyDescent="0.3">
      <c r="A50" s="1">
        <v>2028</v>
      </c>
      <c r="B50" s="5">
        <f t="shared" si="4"/>
        <v>298.74924456819707</v>
      </c>
      <c r="C50" s="5">
        <f t="shared" si="0"/>
        <v>1.2980801164829308</v>
      </c>
      <c r="D50" s="5">
        <f t="shared" si="3"/>
        <v>0.77036847518274854</v>
      </c>
    </row>
    <row r="51" spans="1:4" x14ac:dyDescent="0.3">
      <c r="A51" s="1">
        <v>2029</v>
      </c>
      <c r="B51" s="5">
        <f t="shared" si="4"/>
        <v>304.80516053379063</v>
      </c>
      <c r="C51" s="5">
        <f t="shared" si="0"/>
        <v>1.3243933682984816</v>
      </c>
      <c r="D51" s="5">
        <f t="shared" si="3"/>
        <v>0.75506267543815409</v>
      </c>
    </row>
    <row r="52" spans="1:4" x14ac:dyDescent="0.3">
      <c r="A52" s="1">
        <v>2030</v>
      </c>
      <c r="B52" s="5">
        <f t="shared" si="4"/>
        <v>310.98383536438263</v>
      </c>
      <c r="C52" s="5">
        <f t="shared" si="0"/>
        <v>1.3512400134017939</v>
      </c>
      <c r="D52" s="5">
        <f t="shared" si="3"/>
        <v>0.74006097368480461</v>
      </c>
    </row>
    <row r="53" spans="1:4" x14ac:dyDescent="0.3">
      <c r="A53" s="1">
        <v>2031</v>
      </c>
      <c r="B53" s="5">
        <f t="shared" si="4"/>
        <v>317.28775749261001</v>
      </c>
      <c r="C53" s="5">
        <f t="shared" si="0"/>
        <v>1.3786308641546925</v>
      </c>
      <c r="D53" s="5">
        <f t="shared" si="3"/>
        <v>0.72535732805688347</v>
      </c>
    </row>
    <row r="54" spans="1:4" x14ac:dyDescent="0.3">
      <c r="A54" s="1">
        <v>2032</v>
      </c>
      <c r="B54" s="5">
        <f t="shared" si="4"/>
        <v>323.71946579387821</v>
      </c>
      <c r="C54" s="5">
        <f t="shared" si="0"/>
        <v>1.4065769520953053</v>
      </c>
      <c r="D54" s="5">
        <f t="shared" si="3"/>
        <v>0.71094581672929558</v>
      </c>
    </row>
    <row r="55" spans="1:4" x14ac:dyDescent="0.3">
      <c r="A55" s="1">
        <v>2033</v>
      </c>
      <c r="B55" s="5">
        <f t="shared" si="4"/>
        <v>330.28155060888116</v>
      </c>
      <c r="C55" s="5">
        <f t="shared" si="0"/>
        <v>1.4350895323809616</v>
      </c>
      <c r="D55" s="5">
        <f t="shared" si="3"/>
        <v>0.69682063553268125</v>
      </c>
    </row>
    <row r="56" spans="1:4" x14ac:dyDescent="0.3">
      <c r="A56" s="1">
        <v>2034</v>
      </c>
      <c r="B56" s="5">
        <f t="shared" si="4"/>
        <v>336.97665478684917</v>
      </c>
      <c r="C56" s="5">
        <f t="shared" si="0"/>
        <v>1.4641800883211564</v>
      </c>
      <c r="D56" s="5">
        <f t="shared" si="3"/>
        <v>0.68297609561581329</v>
      </c>
    </row>
    <row r="57" spans="1:4" x14ac:dyDescent="0.3">
      <c r="A57" s="1">
        <v>2035</v>
      </c>
      <c r="B57" s="5">
        <f t="shared" si="4"/>
        <v>343.80747474994416</v>
      </c>
      <c r="C57" s="5">
        <f t="shared" si="0"/>
        <v>1.4938603360023992</v>
      </c>
      <c r="D57" s="5">
        <f t="shared" si="3"/>
        <v>0.66940662115443827</v>
      </c>
    </row>
    <row r="58" spans="1:4" x14ac:dyDescent="0.3">
      <c r="A58" s="1">
        <v>2036</v>
      </c>
      <c r="B58" s="5">
        <f t="shared" si="4"/>
        <v>350.77676157923122</v>
      </c>
      <c r="C58" s="5">
        <f t="shared" si="0"/>
        <v>1.5241422290068141</v>
      </c>
      <c r="D58" s="5">
        <f t="shared" si="3"/>
        <v>0.65610674710563988</v>
      </c>
    </row>
    <row r="59" spans="1:4" x14ac:dyDescent="0.3">
      <c r="A59" s="1">
        <v>2037</v>
      </c>
      <c r="B59" s="5">
        <f t="shared" si="4"/>
        <v>357.88732212266365</v>
      </c>
      <c r="C59" s="5">
        <f t="shared" si="0"/>
        <v>1.5550379632263887</v>
      </c>
      <c r="D59" s="5">
        <f t="shared" si="3"/>
        <v>0.64307111700681741</v>
      </c>
    </row>
    <row r="60" spans="1:4" x14ac:dyDescent="0.3">
      <c r="A60" s="1">
        <v>2038</v>
      </c>
      <c r="B60" s="5">
        <f t="shared" si="4"/>
        <v>365.14202012552806</v>
      </c>
      <c r="C60" s="5">
        <f t="shared" si="0"/>
        <v>1.5865599817748137</v>
      </c>
      <c r="D60" s="5">
        <f t="shared" si="3"/>
        <v>0.6302944808183959</v>
      </c>
    </row>
    <row r="61" spans="1:4" x14ac:dyDescent="0.3">
      <c r="A61" s="1">
        <v>2039</v>
      </c>
      <c r="B61" s="5">
        <f t="shared" si="4"/>
        <v>372.54377738380452</v>
      </c>
      <c r="C61" s="5">
        <f t="shared" si="0"/>
        <v>1.61872097999889</v>
      </c>
      <c r="D61" s="5">
        <f t="shared" si="3"/>
        <v>0.61777169280939681</v>
      </c>
    </row>
    <row r="62" spans="1:4" x14ac:dyDescent="0.3">
      <c r="A62" s="1">
        <v>2040</v>
      </c>
      <c r="B62" s="5">
        <f t="shared" si="4"/>
        <v>380.09557492090624</v>
      </c>
      <c r="C62" s="5">
        <f t="shared" si="0"/>
        <v>1.6515339105915188</v>
      </c>
      <c r="D62" s="5">
        <f t="shared" si="3"/>
        <v>0.60549770948501858</v>
      </c>
    </row>
  </sheetData>
  <mergeCells count="1">
    <mergeCell ref="E10:F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T84"/>
  <sheetViews>
    <sheetView zoomScale="80" zoomScaleNormal="80" workbookViewId="0">
      <selection activeCell="L23" sqref="L23"/>
    </sheetView>
  </sheetViews>
  <sheetFormatPr defaultRowHeight="14.4" x14ac:dyDescent="0.3"/>
  <cols>
    <col min="2" max="2" width="53.21875" customWidth="1"/>
    <col min="3" max="3" width="13.109375" customWidth="1"/>
    <col min="4" max="4" width="8.5546875" style="1" customWidth="1"/>
    <col min="11" max="11" width="3.88671875" customWidth="1"/>
    <col min="12" max="12" width="52.5546875" customWidth="1"/>
    <col min="13" max="13" width="13.44140625" bestFit="1" customWidth="1"/>
  </cols>
  <sheetData>
    <row r="2" spans="2:20" ht="18" x14ac:dyDescent="0.35">
      <c r="B2" s="446" t="s">
        <v>541</v>
      </c>
      <c r="L2" s="446" t="s">
        <v>542</v>
      </c>
      <c r="N2" s="1"/>
    </row>
    <row r="3" spans="2:20" ht="15.6" x14ac:dyDescent="0.3">
      <c r="B3" s="556" t="s">
        <v>504</v>
      </c>
      <c r="L3" s="556" t="s">
        <v>505</v>
      </c>
      <c r="N3" s="1"/>
    </row>
    <row r="4" spans="2:20" ht="14.4" customHeight="1" x14ac:dyDescent="0.3">
      <c r="B4" s="557"/>
      <c r="C4" s="558"/>
      <c r="D4" s="101"/>
      <c r="E4" s="787" t="s">
        <v>506</v>
      </c>
      <c r="F4" s="788"/>
      <c r="G4" s="787" t="s">
        <v>507</v>
      </c>
      <c r="H4" s="788"/>
      <c r="I4" s="785" t="s">
        <v>508</v>
      </c>
      <c r="J4" s="786"/>
      <c r="L4" s="557"/>
      <c r="M4" s="558"/>
      <c r="N4" s="101"/>
      <c r="O4" s="787" t="s">
        <v>506</v>
      </c>
      <c r="P4" s="788"/>
      <c r="Q4" s="787" t="s">
        <v>507</v>
      </c>
      <c r="R4" s="788"/>
      <c r="S4" s="785" t="s">
        <v>508</v>
      </c>
      <c r="T4" s="786"/>
    </row>
    <row r="5" spans="2:20" ht="28.8" x14ac:dyDescent="0.3">
      <c r="B5" s="559" t="s">
        <v>5</v>
      </c>
      <c r="C5" s="560" t="s">
        <v>509</v>
      </c>
      <c r="D5" s="561" t="s">
        <v>510</v>
      </c>
      <c r="E5" s="278" t="s">
        <v>0</v>
      </c>
      <c r="F5" s="562" t="s">
        <v>1</v>
      </c>
      <c r="G5" s="278" t="s">
        <v>0</v>
      </c>
      <c r="H5" s="562" t="s">
        <v>1</v>
      </c>
      <c r="I5" s="563" t="s">
        <v>0</v>
      </c>
      <c r="J5" s="562" t="s">
        <v>1</v>
      </c>
      <c r="L5" s="559" t="s">
        <v>5</v>
      </c>
      <c r="M5" s="560" t="s">
        <v>509</v>
      </c>
      <c r="N5" s="561" t="s">
        <v>510</v>
      </c>
      <c r="O5" s="278" t="s">
        <v>0</v>
      </c>
      <c r="P5" s="562" t="s">
        <v>1</v>
      </c>
      <c r="Q5" s="278" t="s">
        <v>0</v>
      </c>
      <c r="R5" s="562" t="s">
        <v>1</v>
      </c>
      <c r="S5" s="563" t="s">
        <v>0</v>
      </c>
      <c r="T5" s="562" t="s">
        <v>1</v>
      </c>
    </row>
    <row r="6" spans="2:20" x14ac:dyDescent="0.3">
      <c r="B6" s="157" t="s">
        <v>511</v>
      </c>
      <c r="C6" s="564" t="s">
        <v>512</v>
      </c>
      <c r="D6" s="546">
        <v>2</v>
      </c>
      <c r="E6" s="565">
        <v>1300</v>
      </c>
      <c r="F6" s="456">
        <v>1400</v>
      </c>
      <c r="G6" s="566">
        <v>0.26</v>
      </c>
      <c r="H6" s="567">
        <v>0.39</v>
      </c>
      <c r="I6" s="564" t="s">
        <v>513</v>
      </c>
      <c r="J6" s="62" t="s">
        <v>400</v>
      </c>
      <c r="L6" s="157" t="s">
        <v>511</v>
      </c>
      <c r="M6" s="564" t="s">
        <v>512</v>
      </c>
      <c r="N6" s="546">
        <v>2</v>
      </c>
      <c r="O6" s="565">
        <v>2070</v>
      </c>
      <c r="P6" s="456">
        <v>2470</v>
      </c>
      <c r="Q6" s="566">
        <v>0.26</v>
      </c>
      <c r="R6" s="567">
        <v>0.39</v>
      </c>
      <c r="S6" s="564" t="s">
        <v>400</v>
      </c>
      <c r="T6" s="62" t="s">
        <v>401</v>
      </c>
    </row>
    <row r="7" spans="2:20" x14ac:dyDescent="0.3">
      <c r="B7" s="158" t="s">
        <v>514</v>
      </c>
      <c r="C7" s="568" t="s">
        <v>515</v>
      </c>
      <c r="D7" s="161">
        <v>1</v>
      </c>
      <c r="E7" s="569">
        <v>40</v>
      </c>
      <c r="F7" s="570">
        <v>100</v>
      </c>
      <c r="G7" s="571">
        <v>0</v>
      </c>
      <c r="H7" s="572">
        <v>0.22</v>
      </c>
      <c r="I7" s="568" t="s">
        <v>400</v>
      </c>
      <c r="J7" s="573" t="s">
        <v>400</v>
      </c>
      <c r="L7" s="158" t="s">
        <v>514</v>
      </c>
      <c r="M7" s="568" t="s">
        <v>515</v>
      </c>
      <c r="N7" s="161">
        <v>1</v>
      </c>
      <c r="O7" s="569">
        <v>70</v>
      </c>
      <c r="P7" s="570">
        <v>200</v>
      </c>
      <c r="Q7" s="571">
        <v>0</v>
      </c>
      <c r="R7" s="572">
        <v>0.22</v>
      </c>
      <c r="S7" s="568" t="s">
        <v>401</v>
      </c>
      <c r="T7" s="573" t="s">
        <v>402</v>
      </c>
    </row>
    <row r="8" spans="2:20" x14ac:dyDescent="0.3">
      <c r="B8" s="158" t="s">
        <v>516</v>
      </c>
      <c r="C8" s="568" t="s">
        <v>512</v>
      </c>
      <c r="D8" s="161">
        <v>2</v>
      </c>
      <c r="E8" s="569">
        <v>1260</v>
      </c>
      <c r="F8" s="570">
        <v>1300</v>
      </c>
      <c r="G8" s="571">
        <v>0.26</v>
      </c>
      <c r="H8" s="572">
        <v>0.39</v>
      </c>
      <c r="I8" s="568" t="s">
        <v>399</v>
      </c>
      <c r="J8" s="573" t="s">
        <v>400</v>
      </c>
      <c r="L8" s="158" t="s">
        <v>516</v>
      </c>
      <c r="M8" s="568" t="s">
        <v>512</v>
      </c>
      <c r="N8" s="161">
        <v>2</v>
      </c>
      <c r="O8" s="569">
        <v>2000</v>
      </c>
      <c r="P8" s="570">
        <v>2270</v>
      </c>
      <c r="Q8" s="571">
        <v>0.26</v>
      </c>
      <c r="R8" s="572">
        <v>0.39</v>
      </c>
      <c r="S8" s="568" t="s">
        <v>400</v>
      </c>
      <c r="T8" s="573" t="s">
        <v>401</v>
      </c>
    </row>
    <row r="9" spans="2:20" x14ac:dyDescent="0.3">
      <c r="B9" s="158" t="s">
        <v>517</v>
      </c>
      <c r="C9" s="568" t="s">
        <v>518</v>
      </c>
      <c r="D9" s="161">
        <v>1</v>
      </c>
      <c r="E9" s="569">
        <v>910</v>
      </c>
      <c r="F9" s="570">
        <v>710</v>
      </c>
      <c r="G9" s="571">
        <v>0.03</v>
      </c>
      <c r="H9" s="572">
        <v>0.05</v>
      </c>
      <c r="I9" s="568" t="s">
        <v>401</v>
      </c>
      <c r="J9" s="573" t="s">
        <v>400</v>
      </c>
      <c r="L9" s="158" t="s">
        <v>517</v>
      </c>
      <c r="M9" s="568" t="s">
        <v>518</v>
      </c>
      <c r="N9" s="161">
        <v>1</v>
      </c>
      <c r="O9" s="569">
        <v>1500</v>
      </c>
      <c r="P9" s="570">
        <v>1250</v>
      </c>
      <c r="Q9" s="571">
        <v>0.03</v>
      </c>
      <c r="R9" s="572">
        <v>0.05</v>
      </c>
      <c r="S9" s="568" t="s">
        <v>402</v>
      </c>
      <c r="T9" s="573" t="s">
        <v>402</v>
      </c>
    </row>
    <row r="10" spans="2:20" x14ac:dyDescent="0.3">
      <c r="B10" s="158" t="s">
        <v>519</v>
      </c>
      <c r="C10" s="568" t="s">
        <v>512</v>
      </c>
      <c r="D10" s="161">
        <v>2</v>
      </c>
      <c r="E10" s="569">
        <v>2170</v>
      </c>
      <c r="F10" s="570">
        <v>2010</v>
      </c>
      <c r="G10" s="571">
        <v>0.17</v>
      </c>
      <c r="H10" s="572">
        <v>0.28000000000000003</v>
      </c>
      <c r="I10" s="568" t="s">
        <v>400</v>
      </c>
      <c r="J10" s="573" t="s">
        <v>400</v>
      </c>
      <c r="L10" s="158" t="s">
        <v>519</v>
      </c>
      <c r="M10" s="568" t="s">
        <v>512</v>
      </c>
      <c r="N10" s="161">
        <v>2</v>
      </c>
      <c r="O10" s="569">
        <v>3500</v>
      </c>
      <c r="P10" s="570">
        <v>3520</v>
      </c>
      <c r="Q10" s="571">
        <v>0.17</v>
      </c>
      <c r="R10" s="572">
        <v>0.28000000000000003</v>
      </c>
      <c r="S10" s="568" t="s">
        <v>402</v>
      </c>
      <c r="T10" s="573" t="s">
        <v>403</v>
      </c>
    </row>
    <row r="11" spans="2:20" x14ac:dyDescent="0.3">
      <c r="B11" s="158" t="s">
        <v>520</v>
      </c>
      <c r="C11" s="568" t="s">
        <v>515</v>
      </c>
      <c r="D11" s="161">
        <v>1</v>
      </c>
      <c r="E11" s="569">
        <v>200</v>
      </c>
      <c r="F11" s="570">
        <v>400</v>
      </c>
      <c r="G11" s="571">
        <v>0</v>
      </c>
      <c r="H11" s="572">
        <v>0.02</v>
      </c>
      <c r="I11" s="568" t="s">
        <v>401</v>
      </c>
      <c r="J11" s="573" t="s">
        <v>401</v>
      </c>
      <c r="L11" s="158" t="s">
        <v>520</v>
      </c>
      <c r="M11" s="568" t="s">
        <v>515</v>
      </c>
      <c r="N11" s="161">
        <v>1</v>
      </c>
      <c r="O11" s="569">
        <v>350</v>
      </c>
      <c r="P11" s="570">
        <v>750</v>
      </c>
      <c r="Q11" s="571">
        <v>0</v>
      </c>
      <c r="R11" s="572">
        <v>0.02</v>
      </c>
      <c r="S11" s="568" t="s">
        <v>403</v>
      </c>
      <c r="T11" s="573" t="s">
        <v>403</v>
      </c>
    </row>
    <row r="12" spans="2:20" x14ac:dyDescent="0.3">
      <c r="B12" s="158" t="s">
        <v>521</v>
      </c>
      <c r="C12" s="568" t="s">
        <v>512</v>
      </c>
      <c r="D12" s="161">
        <v>2</v>
      </c>
      <c r="E12" s="569">
        <v>1970</v>
      </c>
      <c r="F12" s="570">
        <v>1610</v>
      </c>
      <c r="G12" s="571">
        <v>0.18</v>
      </c>
      <c r="H12" s="572">
        <v>0.28000000000000003</v>
      </c>
      <c r="I12" s="568" t="s">
        <v>400</v>
      </c>
      <c r="J12" s="573" t="s">
        <v>400</v>
      </c>
      <c r="L12" s="158" t="s">
        <v>521</v>
      </c>
      <c r="M12" s="568" t="s">
        <v>512</v>
      </c>
      <c r="N12" s="161">
        <v>2</v>
      </c>
      <c r="O12" s="569">
        <v>3150</v>
      </c>
      <c r="P12" s="570">
        <v>2770</v>
      </c>
      <c r="Q12" s="571">
        <v>0.18</v>
      </c>
      <c r="R12" s="572">
        <v>0.28999999999999998</v>
      </c>
      <c r="S12" s="568" t="s">
        <v>402</v>
      </c>
      <c r="T12" s="573" t="s">
        <v>402</v>
      </c>
    </row>
    <row r="13" spans="2:20" x14ac:dyDescent="0.3">
      <c r="B13" s="158" t="s">
        <v>522</v>
      </c>
      <c r="C13" s="568" t="s">
        <v>518</v>
      </c>
      <c r="D13" s="161">
        <v>1</v>
      </c>
      <c r="E13" s="569">
        <v>1600</v>
      </c>
      <c r="F13" s="570">
        <v>1200</v>
      </c>
      <c r="G13" s="571">
        <v>0.01</v>
      </c>
      <c r="H13" s="572">
        <v>0.03</v>
      </c>
      <c r="I13" s="568" t="s">
        <v>402</v>
      </c>
      <c r="J13" s="573" t="s">
        <v>401</v>
      </c>
      <c r="L13" s="158" t="s">
        <v>522</v>
      </c>
      <c r="M13" s="568" t="s">
        <v>518</v>
      </c>
      <c r="N13" s="161">
        <v>1</v>
      </c>
      <c r="O13" s="569">
        <v>1900</v>
      </c>
      <c r="P13" s="570">
        <v>1700</v>
      </c>
      <c r="Q13" s="571">
        <v>0.01</v>
      </c>
      <c r="R13" s="572">
        <v>0.03</v>
      </c>
      <c r="S13" s="568" t="s">
        <v>407</v>
      </c>
      <c r="T13" s="573" t="s">
        <v>407</v>
      </c>
    </row>
    <row r="14" spans="2:20" x14ac:dyDescent="0.3">
      <c r="B14" s="158" t="s">
        <v>523</v>
      </c>
      <c r="C14" s="568" t="s">
        <v>512</v>
      </c>
      <c r="D14" s="161">
        <v>2</v>
      </c>
      <c r="E14" s="569">
        <v>3570</v>
      </c>
      <c r="F14" s="570">
        <v>2810</v>
      </c>
      <c r="G14" s="571">
        <v>0.12</v>
      </c>
      <c r="H14" s="572">
        <v>0.22</v>
      </c>
      <c r="I14" s="568" t="s">
        <v>402</v>
      </c>
      <c r="J14" s="573" t="s">
        <v>401</v>
      </c>
      <c r="L14" s="158" t="s">
        <v>523</v>
      </c>
      <c r="M14" s="568" t="s">
        <v>512</v>
      </c>
      <c r="N14" s="161">
        <v>2</v>
      </c>
      <c r="O14" s="569">
        <v>5050</v>
      </c>
      <c r="P14" s="570">
        <v>4470</v>
      </c>
      <c r="Q14" s="571">
        <v>0.12</v>
      </c>
      <c r="R14" s="572">
        <v>0.22</v>
      </c>
      <c r="S14" s="568" t="s">
        <v>407</v>
      </c>
      <c r="T14" s="573" t="s">
        <v>407</v>
      </c>
    </row>
    <row r="15" spans="2:20" x14ac:dyDescent="0.3">
      <c r="B15" s="158" t="s">
        <v>524</v>
      </c>
      <c r="C15" s="568" t="s">
        <v>515</v>
      </c>
      <c r="D15" s="161">
        <v>1</v>
      </c>
      <c r="E15" s="569">
        <v>350</v>
      </c>
      <c r="F15" s="570">
        <v>250</v>
      </c>
      <c r="G15" s="571">
        <v>0.38</v>
      </c>
      <c r="H15" s="572">
        <v>0.36</v>
      </c>
      <c r="I15" s="568" t="s">
        <v>402</v>
      </c>
      <c r="J15" s="573" t="s">
        <v>402</v>
      </c>
      <c r="L15" s="158" t="s">
        <v>524</v>
      </c>
      <c r="M15" s="568" t="s">
        <v>515</v>
      </c>
      <c r="N15" s="161">
        <v>1</v>
      </c>
      <c r="O15" s="569">
        <v>600</v>
      </c>
      <c r="P15" s="570">
        <v>450</v>
      </c>
      <c r="Q15" s="571">
        <v>0.38</v>
      </c>
      <c r="R15" s="572">
        <v>0.36</v>
      </c>
      <c r="S15" s="568" t="s">
        <v>407</v>
      </c>
      <c r="T15" s="573" t="s">
        <v>407</v>
      </c>
    </row>
    <row r="16" spans="2:20" x14ac:dyDescent="0.3">
      <c r="B16" s="158" t="s">
        <v>525</v>
      </c>
      <c r="C16" s="568" t="s">
        <v>512</v>
      </c>
      <c r="D16" s="161">
        <v>2</v>
      </c>
      <c r="E16" s="569">
        <v>3220</v>
      </c>
      <c r="F16" s="570">
        <v>2560</v>
      </c>
      <c r="G16" s="571">
        <v>0.09</v>
      </c>
      <c r="H16" s="572">
        <v>0.21</v>
      </c>
      <c r="I16" s="568" t="s">
        <v>402</v>
      </c>
      <c r="J16" s="573" t="s">
        <v>401</v>
      </c>
      <c r="L16" s="158" t="s">
        <v>525</v>
      </c>
      <c r="M16" s="568" t="s">
        <v>512</v>
      </c>
      <c r="N16" s="161">
        <v>2</v>
      </c>
      <c r="O16" s="569">
        <v>4450</v>
      </c>
      <c r="P16" s="570">
        <v>4020</v>
      </c>
      <c r="Q16" s="571">
        <v>0.09</v>
      </c>
      <c r="R16" s="572">
        <v>0.21</v>
      </c>
      <c r="S16" s="568" t="s">
        <v>407</v>
      </c>
      <c r="T16" s="573" t="s">
        <v>407</v>
      </c>
    </row>
    <row r="17" spans="2:20" x14ac:dyDescent="0.3">
      <c r="B17" s="158" t="s">
        <v>526</v>
      </c>
      <c r="C17" s="568" t="s">
        <v>518</v>
      </c>
      <c r="D17" s="161">
        <v>1</v>
      </c>
      <c r="E17" s="569">
        <v>880</v>
      </c>
      <c r="F17" s="570">
        <v>675</v>
      </c>
      <c r="G17" s="571">
        <v>0.08</v>
      </c>
      <c r="H17" s="572">
        <v>0.03</v>
      </c>
      <c r="I17" s="568" t="s">
        <v>401</v>
      </c>
      <c r="J17" s="573" t="s">
        <v>401</v>
      </c>
      <c r="L17" s="158" t="s">
        <v>526</v>
      </c>
      <c r="M17" s="568" t="s">
        <v>518</v>
      </c>
      <c r="N17" s="161">
        <v>1</v>
      </c>
      <c r="O17" s="569">
        <v>1050</v>
      </c>
      <c r="P17" s="570">
        <v>920</v>
      </c>
      <c r="Q17" s="571">
        <v>0.08</v>
      </c>
      <c r="R17" s="572">
        <v>0.03</v>
      </c>
      <c r="S17" s="568" t="s">
        <v>402</v>
      </c>
      <c r="T17" s="573" t="s">
        <v>402</v>
      </c>
    </row>
    <row r="18" spans="2:20" x14ac:dyDescent="0.3">
      <c r="B18" s="158" t="s">
        <v>527</v>
      </c>
      <c r="C18" s="568" t="s">
        <v>512</v>
      </c>
      <c r="D18" s="161">
        <v>3</v>
      </c>
      <c r="E18" s="569">
        <v>4100</v>
      </c>
      <c r="F18" s="570">
        <v>3235</v>
      </c>
      <c r="G18" s="571">
        <v>0.1</v>
      </c>
      <c r="H18" s="572">
        <v>0.18</v>
      </c>
      <c r="I18" s="568" t="s">
        <v>401</v>
      </c>
      <c r="J18" s="573" t="s">
        <v>401</v>
      </c>
      <c r="L18" s="158" t="s">
        <v>527</v>
      </c>
      <c r="M18" s="568" t="s">
        <v>512</v>
      </c>
      <c r="N18" s="161">
        <v>3</v>
      </c>
      <c r="O18" s="569">
        <v>5500</v>
      </c>
      <c r="P18" s="570">
        <v>4940</v>
      </c>
      <c r="Q18" s="571">
        <v>0.1</v>
      </c>
      <c r="R18" s="572">
        <v>0.18</v>
      </c>
      <c r="S18" s="568" t="s">
        <v>402</v>
      </c>
      <c r="T18" s="573" t="s">
        <v>402</v>
      </c>
    </row>
    <row r="19" spans="2:20" x14ac:dyDescent="0.3">
      <c r="B19" s="158" t="s">
        <v>528</v>
      </c>
      <c r="C19" s="568" t="s">
        <v>515</v>
      </c>
      <c r="D19" s="161">
        <v>1</v>
      </c>
      <c r="E19" s="569">
        <v>700</v>
      </c>
      <c r="F19" s="570">
        <v>750</v>
      </c>
      <c r="G19" s="571">
        <v>0.01</v>
      </c>
      <c r="H19" s="572">
        <v>0.01</v>
      </c>
      <c r="I19" s="568" t="s">
        <v>402</v>
      </c>
      <c r="J19" s="573" t="s">
        <v>401</v>
      </c>
      <c r="L19" s="158" t="s">
        <v>528</v>
      </c>
      <c r="M19" s="568" t="s">
        <v>515</v>
      </c>
      <c r="N19" s="161">
        <v>1</v>
      </c>
      <c r="O19" s="569">
        <v>1000</v>
      </c>
      <c r="P19" s="570">
        <v>1100</v>
      </c>
      <c r="Q19" s="571">
        <v>0.01</v>
      </c>
      <c r="R19" s="572">
        <v>0.01</v>
      </c>
      <c r="S19" s="568" t="s">
        <v>403</v>
      </c>
      <c r="T19" s="573" t="s">
        <v>403</v>
      </c>
    </row>
    <row r="20" spans="2:20" x14ac:dyDescent="0.3">
      <c r="B20" s="159" t="s">
        <v>529</v>
      </c>
      <c r="C20" s="574" t="s">
        <v>512</v>
      </c>
      <c r="D20" s="526">
        <v>3</v>
      </c>
      <c r="E20" s="575">
        <v>3400</v>
      </c>
      <c r="F20" s="452">
        <v>2485</v>
      </c>
      <c r="G20" s="576">
        <v>0.08</v>
      </c>
      <c r="H20" s="577">
        <v>0.23</v>
      </c>
      <c r="I20" s="574" t="s">
        <v>401</v>
      </c>
      <c r="J20" s="578" t="s">
        <v>400</v>
      </c>
      <c r="L20" s="159" t="s">
        <v>529</v>
      </c>
      <c r="M20" s="574" t="s">
        <v>512</v>
      </c>
      <c r="N20" s="526">
        <v>3</v>
      </c>
      <c r="O20" s="575">
        <v>4500</v>
      </c>
      <c r="P20" s="452">
        <v>3840</v>
      </c>
      <c r="Q20" s="576">
        <v>0.08</v>
      </c>
      <c r="R20" s="577">
        <v>0.23</v>
      </c>
      <c r="S20" s="574" t="s">
        <v>401</v>
      </c>
      <c r="T20" s="578" t="s">
        <v>401</v>
      </c>
    </row>
    <row r="22" spans="2:20" ht="18" x14ac:dyDescent="0.35">
      <c r="B22" s="446" t="s">
        <v>543</v>
      </c>
      <c r="L22" s="446" t="s">
        <v>544</v>
      </c>
      <c r="N22" s="1"/>
    </row>
    <row r="23" spans="2:20" ht="15.6" x14ac:dyDescent="0.3">
      <c r="B23" s="556" t="s">
        <v>530</v>
      </c>
      <c r="L23" s="556" t="s">
        <v>531</v>
      </c>
      <c r="N23" s="1"/>
    </row>
    <row r="24" spans="2:20" x14ac:dyDescent="0.3">
      <c r="B24" s="557"/>
      <c r="C24" s="558"/>
      <c r="D24" s="101"/>
      <c r="E24" s="787" t="s">
        <v>506</v>
      </c>
      <c r="F24" s="788"/>
      <c r="G24" s="787" t="s">
        <v>507</v>
      </c>
      <c r="H24" s="788"/>
      <c r="I24" s="785" t="s">
        <v>508</v>
      </c>
      <c r="J24" s="786"/>
      <c r="L24" s="557"/>
      <c r="M24" s="558"/>
      <c r="N24" s="101"/>
      <c r="O24" s="787" t="s">
        <v>506</v>
      </c>
      <c r="P24" s="788"/>
      <c r="Q24" s="787" t="s">
        <v>507</v>
      </c>
      <c r="R24" s="788"/>
      <c r="S24" s="785" t="s">
        <v>508</v>
      </c>
      <c r="T24" s="786"/>
    </row>
    <row r="25" spans="2:20" ht="28.8" x14ac:dyDescent="0.3">
      <c r="B25" s="559" t="s">
        <v>5</v>
      </c>
      <c r="C25" s="560" t="s">
        <v>509</v>
      </c>
      <c r="D25" s="561" t="s">
        <v>510</v>
      </c>
      <c r="E25" s="278" t="s">
        <v>0</v>
      </c>
      <c r="F25" s="562" t="s">
        <v>1</v>
      </c>
      <c r="G25" s="278" t="s">
        <v>0</v>
      </c>
      <c r="H25" s="562" t="s">
        <v>1</v>
      </c>
      <c r="I25" s="563" t="s">
        <v>0</v>
      </c>
      <c r="J25" s="562" t="s">
        <v>1</v>
      </c>
      <c r="L25" s="559" t="s">
        <v>5</v>
      </c>
      <c r="M25" s="560" t="s">
        <v>509</v>
      </c>
      <c r="N25" s="561" t="s">
        <v>510</v>
      </c>
      <c r="O25" s="278" t="s">
        <v>0</v>
      </c>
      <c r="P25" s="562" t="s">
        <v>1</v>
      </c>
      <c r="Q25" s="278" t="s">
        <v>0</v>
      </c>
      <c r="R25" s="562" t="s">
        <v>1</v>
      </c>
      <c r="S25" s="563" t="s">
        <v>0</v>
      </c>
      <c r="T25" s="562" t="s">
        <v>1</v>
      </c>
    </row>
    <row r="26" spans="2:20" x14ac:dyDescent="0.3">
      <c r="B26" s="157" t="s">
        <v>529</v>
      </c>
      <c r="C26" s="564" t="s">
        <v>512</v>
      </c>
      <c r="D26" s="546">
        <v>3</v>
      </c>
      <c r="E26" s="565">
        <v>1820</v>
      </c>
      <c r="F26" s="456">
        <v>3610</v>
      </c>
      <c r="G26" s="566">
        <v>0.19</v>
      </c>
      <c r="H26" s="567">
        <v>0.17</v>
      </c>
      <c r="I26" s="564" t="s">
        <v>513</v>
      </c>
      <c r="J26" s="62" t="s">
        <v>401</v>
      </c>
      <c r="L26" s="157" t="s">
        <v>529</v>
      </c>
      <c r="M26" s="564" t="s">
        <v>512</v>
      </c>
      <c r="N26" s="546">
        <v>3</v>
      </c>
      <c r="O26" s="565">
        <v>2550</v>
      </c>
      <c r="P26" s="456">
        <v>4950</v>
      </c>
      <c r="Q26" s="566">
        <v>0.19</v>
      </c>
      <c r="R26" s="567">
        <v>0.17</v>
      </c>
      <c r="S26" s="564" t="s">
        <v>400</v>
      </c>
      <c r="T26" s="62" t="s">
        <v>402</v>
      </c>
    </row>
    <row r="27" spans="2:20" x14ac:dyDescent="0.3">
      <c r="B27" s="158" t="s">
        <v>532</v>
      </c>
      <c r="C27" s="568" t="s">
        <v>518</v>
      </c>
      <c r="D27" s="161">
        <v>1</v>
      </c>
      <c r="E27" s="569">
        <v>300</v>
      </c>
      <c r="F27" s="570">
        <v>500</v>
      </c>
      <c r="G27" s="571">
        <v>0.01</v>
      </c>
      <c r="H27" s="572">
        <v>0</v>
      </c>
      <c r="I27" s="568" t="s">
        <v>400</v>
      </c>
      <c r="J27" s="573" t="s">
        <v>401</v>
      </c>
      <c r="L27" s="158" t="s">
        <v>532</v>
      </c>
      <c r="M27" s="568" t="s">
        <v>518</v>
      </c>
      <c r="N27" s="161">
        <v>1</v>
      </c>
      <c r="O27" s="569">
        <v>450</v>
      </c>
      <c r="P27" s="570">
        <v>750</v>
      </c>
      <c r="Q27" s="571">
        <v>0.01</v>
      </c>
      <c r="R27" s="572">
        <v>0</v>
      </c>
      <c r="S27" s="568" t="s">
        <v>400</v>
      </c>
      <c r="T27" s="573" t="s">
        <v>402</v>
      </c>
    </row>
    <row r="28" spans="2:20" x14ac:dyDescent="0.3">
      <c r="B28" s="158" t="s">
        <v>533</v>
      </c>
      <c r="C28" s="568" t="s">
        <v>512</v>
      </c>
      <c r="D28" s="161">
        <v>3</v>
      </c>
      <c r="E28" s="569">
        <v>2120</v>
      </c>
      <c r="F28" s="570">
        <v>4110</v>
      </c>
      <c r="G28" s="571">
        <v>0.16</v>
      </c>
      <c r="H28" s="572">
        <v>0.15</v>
      </c>
      <c r="I28" s="568" t="s">
        <v>400</v>
      </c>
      <c r="J28" s="573" t="s">
        <v>402</v>
      </c>
      <c r="L28" s="158" t="s">
        <v>533</v>
      </c>
      <c r="M28" s="568" t="s">
        <v>512</v>
      </c>
      <c r="N28" s="161">
        <v>3</v>
      </c>
      <c r="O28" s="569">
        <v>3000</v>
      </c>
      <c r="P28" s="570">
        <v>5700</v>
      </c>
      <c r="Q28" s="571">
        <v>0.16</v>
      </c>
      <c r="R28" s="572">
        <v>0.15</v>
      </c>
      <c r="S28" s="568" t="s">
        <v>401</v>
      </c>
      <c r="T28" s="573" t="s">
        <v>403</v>
      </c>
    </row>
    <row r="29" spans="2:20" x14ac:dyDescent="0.3">
      <c r="B29" s="158" t="s">
        <v>524</v>
      </c>
      <c r="C29" s="568" t="s">
        <v>515</v>
      </c>
      <c r="D29" s="161">
        <v>1</v>
      </c>
      <c r="E29" s="569">
        <v>400</v>
      </c>
      <c r="F29" s="570">
        <v>450</v>
      </c>
      <c r="G29" s="571">
        <v>0.06</v>
      </c>
      <c r="H29" s="572">
        <v>0.03</v>
      </c>
      <c r="I29" s="568" t="s">
        <v>400</v>
      </c>
      <c r="J29" s="573" t="s">
        <v>402</v>
      </c>
      <c r="L29" s="158" t="s">
        <v>524</v>
      </c>
      <c r="M29" s="568" t="s">
        <v>515</v>
      </c>
      <c r="N29" s="161">
        <v>1</v>
      </c>
      <c r="O29" s="569">
        <v>450</v>
      </c>
      <c r="P29" s="570">
        <v>500</v>
      </c>
      <c r="Q29" s="571">
        <v>0.06</v>
      </c>
      <c r="R29" s="572">
        <v>0.03</v>
      </c>
      <c r="S29" s="568" t="s">
        <v>401</v>
      </c>
      <c r="T29" s="573" t="s">
        <v>403</v>
      </c>
    </row>
    <row r="30" spans="2:20" x14ac:dyDescent="0.3">
      <c r="B30" s="158" t="s">
        <v>534</v>
      </c>
      <c r="C30" s="568" t="s">
        <v>512</v>
      </c>
      <c r="D30" s="161">
        <v>3</v>
      </c>
      <c r="E30" s="569">
        <v>1720</v>
      </c>
      <c r="F30" s="570">
        <v>3660</v>
      </c>
      <c r="G30" s="571">
        <v>0.18</v>
      </c>
      <c r="H30" s="572">
        <v>0.17</v>
      </c>
      <c r="I30" s="568" t="s">
        <v>399</v>
      </c>
      <c r="J30" s="573" t="s">
        <v>401</v>
      </c>
      <c r="L30" s="158" t="s">
        <v>534</v>
      </c>
      <c r="M30" s="568" t="s">
        <v>512</v>
      </c>
      <c r="N30" s="161">
        <v>3</v>
      </c>
      <c r="O30" s="569">
        <v>2550</v>
      </c>
      <c r="P30" s="570">
        <v>5200</v>
      </c>
      <c r="Q30" s="571">
        <v>0.18</v>
      </c>
      <c r="R30" s="572">
        <v>0.17</v>
      </c>
      <c r="S30" s="568" t="s">
        <v>400</v>
      </c>
      <c r="T30" s="573" t="s">
        <v>402</v>
      </c>
    </row>
    <row r="31" spans="2:20" x14ac:dyDescent="0.3">
      <c r="B31" s="158" t="s">
        <v>535</v>
      </c>
      <c r="C31" s="568" t="s">
        <v>512</v>
      </c>
      <c r="D31" s="161">
        <v>2</v>
      </c>
      <c r="E31" s="569">
        <v>1720</v>
      </c>
      <c r="F31" s="570">
        <v>3660</v>
      </c>
      <c r="G31" s="571">
        <v>0.18</v>
      </c>
      <c r="H31" s="572">
        <v>0.17</v>
      </c>
      <c r="I31" s="568" t="s">
        <v>400</v>
      </c>
      <c r="J31" s="573" t="s">
        <v>403</v>
      </c>
      <c r="L31" s="158" t="s">
        <v>535</v>
      </c>
      <c r="M31" s="568" t="s">
        <v>512</v>
      </c>
      <c r="N31" s="161">
        <v>2</v>
      </c>
      <c r="O31" s="569">
        <v>2550</v>
      </c>
      <c r="P31" s="570">
        <v>5200</v>
      </c>
      <c r="Q31" s="571">
        <v>0.18</v>
      </c>
      <c r="R31" s="572">
        <v>0.17</v>
      </c>
      <c r="S31" s="568" t="s">
        <v>401</v>
      </c>
      <c r="T31" s="573" t="s">
        <v>407</v>
      </c>
    </row>
    <row r="32" spans="2:20" x14ac:dyDescent="0.3">
      <c r="B32" s="158" t="s">
        <v>526</v>
      </c>
      <c r="C32" s="568" t="s">
        <v>518</v>
      </c>
      <c r="D32" s="161">
        <v>1</v>
      </c>
      <c r="E32" s="569">
        <v>250</v>
      </c>
      <c r="F32" s="570">
        <v>500</v>
      </c>
      <c r="G32" s="571">
        <v>0.03</v>
      </c>
      <c r="H32" s="572">
        <v>0.03</v>
      </c>
      <c r="I32" s="568" t="s">
        <v>400</v>
      </c>
      <c r="J32" s="573" t="s">
        <v>407</v>
      </c>
      <c r="L32" s="158" t="s">
        <v>526</v>
      </c>
      <c r="M32" s="568" t="s">
        <v>518</v>
      </c>
      <c r="N32" s="161">
        <v>1</v>
      </c>
      <c r="O32" s="569">
        <v>450</v>
      </c>
      <c r="P32" s="570">
        <v>850</v>
      </c>
      <c r="Q32" s="571">
        <v>0.03</v>
      </c>
      <c r="R32" s="572">
        <v>0.03</v>
      </c>
      <c r="S32" s="568" t="s">
        <v>401</v>
      </c>
      <c r="T32" s="573" t="s">
        <v>407</v>
      </c>
    </row>
    <row r="33" spans="2:20" x14ac:dyDescent="0.3">
      <c r="B33" s="158" t="s">
        <v>536</v>
      </c>
      <c r="C33" s="568" t="s">
        <v>512</v>
      </c>
      <c r="D33" s="161">
        <v>2</v>
      </c>
      <c r="E33" s="569">
        <v>1970</v>
      </c>
      <c r="F33" s="570">
        <v>4160</v>
      </c>
      <c r="G33" s="571">
        <v>0.16</v>
      </c>
      <c r="H33" s="572">
        <v>0.15</v>
      </c>
      <c r="I33" s="568" t="s">
        <v>400</v>
      </c>
      <c r="J33" s="573" t="s">
        <v>407</v>
      </c>
      <c r="L33" s="158" t="s">
        <v>536</v>
      </c>
      <c r="M33" s="568" t="s">
        <v>512</v>
      </c>
      <c r="N33" s="161">
        <v>2</v>
      </c>
      <c r="O33" s="569">
        <v>3000</v>
      </c>
      <c r="P33" s="570">
        <v>6050</v>
      </c>
      <c r="Q33" s="571">
        <v>0.16</v>
      </c>
      <c r="R33" s="572">
        <v>0.15</v>
      </c>
      <c r="S33" s="568" t="s">
        <v>402</v>
      </c>
      <c r="T33" s="573" t="s">
        <v>407</v>
      </c>
    </row>
    <row r="34" spans="2:20" x14ac:dyDescent="0.3">
      <c r="B34" s="158" t="s">
        <v>520</v>
      </c>
      <c r="C34" s="568" t="s">
        <v>515</v>
      </c>
      <c r="D34" s="161">
        <v>1</v>
      </c>
      <c r="E34" s="569">
        <v>700</v>
      </c>
      <c r="F34" s="570">
        <v>1800</v>
      </c>
      <c r="G34" s="571">
        <v>0.06</v>
      </c>
      <c r="H34" s="572">
        <v>0.02</v>
      </c>
      <c r="I34" s="568" t="s">
        <v>401</v>
      </c>
      <c r="J34" s="573" t="s">
        <v>407</v>
      </c>
      <c r="L34" s="158" t="s">
        <v>520</v>
      </c>
      <c r="M34" s="568" t="s">
        <v>515</v>
      </c>
      <c r="N34" s="161">
        <v>1</v>
      </c>
      <c r="O34" s="569">
        <v>950</v>
      </c>
      <c r="P34" s="570">
        <v>2400</v>
      </c>
      <c r="Q34" s="571">
        <v>0.06</v>
      </c>
      <c r="R34" s="572">
        <v>0.02</v>
      </c>
      <c r="S34" s="568" t="s">
        <v>402</v>
      </c>
      <c r="T34" s="573" t="s">
        <v>407</v>
      </c>
    </row>
    <row r="35" spans="2:20" x14ac:dyDescent="0.3">
      <c r="B35" s="158" t="s">
        <v>521</v>
      </c>
      <c r="C35" s="568" t="s">
        <v>512</v>
      </c>
      <c r="D35" s="161">
        <v>2</v>
      </c>
      <c r="E35" s="569">
        <v>1270</v>
      </c>
      <c r="F35" s="570">
        <v>2360</v>
      </c>
      <c r="G35" s="571">
        <v>0.25</v>
      </c>
      <c r="H35" s="572">
        <v>0.22</v>
      </c>
      <c r="I35" s="568" t="s">
        <v>400</v>
      </c>
      <c r="J35" s="573" t="s">
        <v>401</v>
      </c>
      <c r="L35" s="158" t="s">
        <v>521</v>
      </c>
      <c r="M35" s="568" t="s">
        <v>512</v>
      </c>
      <c r="N35" s="161">
        <v>2</v>
      </c>
      <c r="O35" s="569">
        <v>2050</v>
      </c>
      <c r="P35" s="570">
        <v>3650</v>
      </c>
      <c r="Q35" s="571">
        <v>0.25</v>
      </c>
      <c r="R35" s="572">
        <v>0.22</v>
      </c>
      <c r="S35" s="568" t="s">
        <v>401</v>
      </c>
      <c r="T35" s="573" t="s">
        <v>407</v>
      </c>
    </row>
    <row r="36" spans="2:20" x14ac:dyDescent="0.3">
      <c r="B36" s="158" t="s">
        <v>522</v>
      </c>
      <c r="C36" s="568" t="s">
        <v>518</v>
      </c>
      <c r="D36" s="161">
        <v>1</v>
      </c>
      <c r="E36" s="569">
        <v>100</v>
      </c>
      <c r="F36" s="570">
        <v>400</v>
      </c>
      <c r="G36" s="571">
        <v>0</v>
      </c>
      <c r="H36" s="572">
        <v>0.01</v>
      </c>
      <c r="I36" s="568" t="s">
        <v>400</v>
      </c>
      <c r="J36" s="573" t="s">
        <v>402</v>
      </c>
      <c r="L36" s="158" t="s">
        <v>522</v>
      </c>
      <c r="M36" s="568" t="s">
        <v>518</v>
      </c>
      <c r="N36" s="161">
        <v>1</v>
      </c>
      <c r="O36" s="569">
        <v>200</v>
      </c>
      <c r="P36" s="570">
        <v>700</v>
      </c>
      <c r="Q36" s="571">
        <v>0</v>
      </c>
      <c r="R36" s="572">
        <v>0.01</v>
      </c>
      <c r="S36" s="568" t="s">
        <v>401</v>
      </c>
      <c r="T36" s="573" t="s">
        <v>407</v>
      </c>
    </row>
    <row r="37" spans="2:20" x14ac:dyDescent="0.3">
      <c r="B37" s="158" t="s">
        <v>537</v>
      </c>
      <c r="C37" s="568" t="s">
        <v>512</v>
      </c>
      <c r="D37" s="161">
        <v>2</v>
      </c>
      <c r="E37" s="569">
        <v>1370</v>
      </c>
      <c r="F37" s="570">
        <v>2760</v>
      </c>
      <c r="G37" s="571">
        <v>0.24</v>
      </c>
      <c r="H37" s="572">
        <v>0.22</v>
      </c>
      <c r="I37" s="568" t="s">
        <v>400</v>
      </c>
      <c r="J37" s="573" t="s">
        <v>401</v>
      </c>
      <c r="L37" s="158" t="s">
        <v>537</v>
      </c>
      <c r="M37" s="568" t="s">
        <v>512</v>
      </c>
      <c r="N37" s="161">
        <v>2</v>
      </c>
      <c r="O37" s="569">
        <v>2250</v>
      </c>
      <c r="P37" s="570">
        <v>4350</v>
      </c>
      <c r="Q37" s="571">
        <v>0.24</v>
      </c>
      <c r="R37" s="572">
        <v>0.22</v>
      </c>
      <c r="S37" s="568" t="s">
        <v>401</v>
      </c>
      <c r="T37" s="573" t="s">
        <v>407</v>
      </c>
    </row>
    <row r="38" spans="2:20" x14ac:dyDescent="0.3">
      <c r="B38" s="158" t="s">
        <v>514</v>
      </c>
      <c r="C38" s="568" t="s">
        <v>515</v>
      </c>
      <c r="D38" s="161">
        <v>1</v>
      </c>
      <c r="E38" s="569">
        <v>460</v>
      </c>
      <c r="F38" s="570">
        <v>1100</v>
      </c>
      <c r="G38" s="571">
        <v>0.08</v>
      </c>
      <c r="H38" s="572">
        <v>0.01</v>
      </c>
      <c r="I38" s="568" t="s">
        <v>400</v>
      </c>
      <c r="J38" s="573" t="s">
        <v>402</v>
      </c>
      <c r="L38" s="158" t="s">
        <v>514</v>
      </c>
      <c r="M38" s="568" t="s">
        <v>515</v>
      </c>
      <c r="N38" s="161">
        <v>1</v>
      </c>
      <c r="O38" s="569">
        <v>750</v>
      </c>
      <c r="P38" s="570">
        <v>1800</v>
      </c>
      <c r="Q38" s="571">
        <v>0.08</v>
      </c>
      <c r="R38" s="572">
        <v>0.01</v>
      </c>
      <c r="S38" s="568" t="s">
        <v>401</v>
      </c>
      <c r="T38" s="573" t="s">
        <v>407</v>
      </c>
    </row>
    <row r="39" spans="2:20" x14ac:dyDescent="0.3">
      <c r="B39" s="158" t="s">
        <v>516</v>
      </c>
      <c r="C39" s="568" t="s">
        <v>512</v>
      </c>
      <c r="D39" s="161">
        <v>2</v>
      </c>
      <c r="E39" s="569">
        <v>910</v>
      </c>
      <c r="F39" s="570">
        <v>1660</v>
      </c>
      <c r="G39" s="571">
        <v>0.33</v>
      </c>
      <c r="H39" s="572">
        <v>0.33</v>
      </c>
      <c r="I39" s="568" t="s">
        <v>399</v>
      </c>
      <c r="J39" s="573" t="s">
        <v>400</v>
      </c>
      <c r="L39" s="158" t="s">
        <v>516</v>
      </c>
      <c r="M39" s="568" t="s">
        <v>512</v>
      </c>
      <c r="N39" s="161">
        <v>2</v>
      </c>
      <c r="O39" s="569">
        <v>1500</v>
      </c>
      <c r="P39" s="570">
        <v>2550</v>
      </c>
      <c r="Q39" s="571">
        <v>0.33</v>
      </c>
      <c r="R39" s="572">
        <v>0.33</v>
      </c>
      <c r="S39" s="568" t="s">
        <v>400</v>
      </c>
      <c r="T39" s="573" t="s">
        <v>401</v>
      </c>
    </row>
    <row r="40" spans="2:20" x14ac:dyDescent="0.3">
      <c r="B40" s="158" t="s">
        <v>517</v>
      </c>
      <c r="C40" s="568" t="s">
        <v>518</v>
      </c>
      <c r="D40" s="161">
        <v>1</v>
      </c>
      <c r="E40" s="569">
        <v>90</v>
      </c>
      <c r="F40" s="570">
        <v>40</v>
      </c>
      <c r="G40" s="571">
        <v>0</v>
      </c>
      <c r="H40" s="572">
        <v>0.1</v>
      </c>
      <c r="I40" s="568" t="s">
        <v>399</v>
      </c>
      <c r="J40" s="573" t="s">
        <v>400</v>
      </c>
      <c r="L40" s="158" t="s">
        <v>517</v>
      </c>
      <c r="M40" s="568" t="s">
        <v>518</v>
      </c>
      <c r="N40" s="161">
        <v>1</v>
      </c>
      <c r="O40" s="569">
        <v>100</v>
      </c>
      <c r="P40" s="570">
        <v>50</v>
      </c>
      <c r="Q40" s="571">
        <v>0</v>
      </c>
      <c r="R40" s="572">
        <v>0.1</v>
      </c>
      <c r="S40" s="568" t="s">
        <v>400</v>
      </c>
      <c r="T40" s="573" t="s">
        <v>401</v>
      </c>
    </row>
    <row r="41" spans="2:20" x14ac:dyDescent="0.3">
      <c r="B41" s="159" t="s">
        <v>511</v>
      </c>
      <c r="C41" s="579" t="s">
        <v>512</v>
      </c>
      <c r="D41" s="526">
        <v>2</v>
      </c>
      <c r="E41" s="468">
        <v>1000</v>
      </c>
      <c r="F41" s="580">
        <v>1700</v>
      </c>
      <c r="G41" s="581">
        <v>0.32</v>
      </c>
      <c r="H41" s="582">
        <v>0.33</v>
      </c>
      <c r="I41" s="579" t="s">
        <v>399</v>
      </c>
      <c r="J41" s="583" t="s">
        <v>400</v>
      </c>
      <c r="L41" s="159" t="s">
        <v>511</v>
      </c>
      <c r="M41" s="579" t="s">
        <v>512</v>
      </c>
      <c r="N41" s="526">
        <v>2</v>
      </c>
      <c r="O41" s="468">
        <v>1600</v>
      </c>
      <c r="P41" s="580">
        <v>2600</v>
      </c>
      <c r="Q41" s="581">
        <v>0.32</v>
      </c>
      <c r="R41" s="582">
        <v>0.33</v>
      </c>
      <c r="S41" s="579" t="s">
        <v>400</v>
      </c>
      <c r="T41" s="583" t="s">
        <v>401</v>
      </c>
    </row>
    <row r="42" spans="2:20" x14ac:dyDescent="0.3">
      <c r="J42" s="584"/>
    </row>
    <row r="44" spans="2:20" ht="18" x14ac:dyDescent="0.35">
      <c r="B44" s="446" t="s">
        <v>545</v>
      </c>
      <c r="L44" s="446" t="s">
        <v>546</v>
      </c>
      <c r="N44" s="1"/>
    </row>
    <row r="45" spans="2:20" ht="15.6" x14ac:dyDescent="0.3">
      <c r="B45" s="556" t="s">
        <v>504</v>
      </c>
      <c r="L45" s="556" t="s">
        <v>505</v>
      </c>
      <c r="N45" s="1"/>
    </row>
    <row r="46" spans="2:20" x14ac:dyDescent="0.3">
      <c r="B46" s="557"/>
      <c r="C46" s="558"/>
      <c r="D46" s="101"/>
      <c r="E46" s="787" t="s">
        <v>506</v>
      </c>
      <c r="F46" s="788"/>
      <c r="G46" s="787" t="s">
        <v>507</v>
      </c>
      <c r="H46" s="788"/>
      <c r="I46" s="785" t="s">
        <v>508</v>
      </c>
      <c r="J46" s="786"/>
      <c r="L46" s="557"/>
      <c r="M46" s="558"/>
      <c r="N46" s="101"/>
      <c r="O46" s="787" t="s">
        <v>506</v>
      </c>
      <c r="P46" s="788"/>
      <c r="Q46" s="787" t="s">
        <v>507</v>
      </c>
      <c r="R46" s="788"/>
      <c r="S46" s="785" t="s">
        <v>508</v>
      </c>
      <c r="T46" s="786"/>
    </row>
    <row r="47" spans="2:20" ht="28.8" x14ac:dyDescent="0.3">
      <c r="B47" s="559" t="s">
        <v>5</v>
      </c>
      <c r="C47" s="560" t="s">
        <v>509</v>
      </c>
      <c r="D47" s="561" t="s">
        <v>510</v>
      </c>
      <c r="E47" s="278" t="s">
        <v>0</v>
      </c>
      <c r="F47" s="562" t="s">
        <v>1</v>
      </c>
      <c r="G47" s="278" t="s">
        <v>0</v>
      </c>
      <c r="H47" s="562" t="s">
        <v>1</v>
      </c>
      <c r="I47" s="563" t="s">
        <v>0</v>
      </c>
      <c r="J47" s="562" t="s">
        <v>1</v>
      </c>
      <c r="L47" s="559" t="s">
        <v>5</v>
      </c>
      <c r="M47" s="560" t="s">
        <v>509</v>
      </c>
      <c r="N47" s="561" t="s">
        <v>510</v>
      </c>
      <c r="O47" s="278" t="s">
        <v>0</v>
      </c>
      <c r="P47" s="562" t="s">
        <v>1</v>
      </c>
      <c r="Q47" s="278" t="s">
        <v>0</v>
      </c>
      <c r="R47" s="562" t="s">
        <v>1</v>
      </c>
      <c r="S47" s="563" t="s">
        <v>0</v>
      </c>
      <c r="T47" s="562" t="s">
        <v>1</v>
      </c>
    </row>
    <row r="48" spans="2:20" x14ac:dyDescent="0.3">
      <c r="B48" s="157" t="s">
        <v>511</v>
      </c>
      <c r="C48" s="564" t="s">
        <v>512</v>
      </c>
      <c r="D48" s="546">
        <v>2</v>
      </c>
      <c r="E48" s="565">
        <v>1300</v>
      </c>
      <c r="F48" s="456">
        <v>1400</v>
      </c>
      <c r="G48" s="566">
        <v>0.26</v>
      </c>
      <c r="H48" s="567">
        <v>0.39</v>
      </c>
      <c r="I48" s="564" t="s">
        <v>513</v>
      </c>
      <c r="J48" s="62" t="s">
        <v>400</v>
      </c>
      <c r="L48" s="157" t="s">
        <v>511</v>
      </c>
      <c r="M48" s="564" t="s">
        <v>512</v>
      </c>
      <c r="N48" s="546">
        <v>2</v>
      </c>
      <c r="O48" s="565">
        <v>2070</v>
      </c>
      <c r="P48" s="456">
        <v>2470</v>
      </c>
      <c r="Q48" s="566">
        <v>0.26</v>
      </c>
      <c r="R48" s="567">
        <v>0.39</v>
      </c>
      <c r="S48" s="564" t="s">
        <v>400</v>
      </c>
      <c r="T48" s="62" t="s">
        <v>401</v>
      </c>
    </row>
    <row r="49" spans="2:20" x14ac:dyDescent="0.3">
      <c r="B49" s="158" t="s">
        <v>514</v>
      </c>
      <c r="C49" s="568" t="s">
        <v>515</v>
      </c>
      <c r="D49" s="161">
        <v>1</v>
      </c>
      <c r="E49" s="569">
        <v>40</v>
      </c>
      <c r="F49" s="570">
        <v>100</v>
      </c>
      <c r="G49" s="571">
        <v>0</v>
      </c>
      <c r="H49" s="572">
        <v>0.22</v>
      </c>
      <c r="I49" s="568" t="s">
        <v>400</v>
      </c>
      <c r="J49" s="573" t="s">
        <v>400</v>
      </c>
      <c r="L49" s="158" t="s">
        <v>514</v>
      </c>
      <c r="M49" s="568" t="s">
        <v>515</v>
      </c>
      <c r="N49" s="161">
        <v>1</v>
      </c>
      <c r="O49" s="569">
        <v>70</v>
      </c>
      <c r="P49" s="570">
        <v>200</v>
      </c>
      <c r="Q49" s="571">
        <v>0</v>
      </c>
      <c r="R49" s="572">
        <v>0.22</v>
      </c>
      <c r="S49" s="568" t="s">
        <v>401</v>
      </c>
      <c r="T49" s="573" t="s">
        <v>402</v>
      </c>
    </row>
    <row r="50" spans="2:20" x14ac:dyDescent="0.3">
      <c r="B50" s="158" t="s">
        <v>516</v>
      </c>
      <c r="C50" s="568" t="s">
        <v>512</v>
      </c>
      <c r="D50" s="161">
        <v>2</v>
      </c>
      <c r="E50" s="569">
        <v>1260</v>
      </c>
      <c r="F50" s="570">
        <v>1300</v>
      </c>
      <c r="G50" s="571">
        <v>0.26</v>
      </c>
      <c r="H50" s="572">
        <v>0.39</v>
      </c>
      <c r="I50" s="568" t="s">
        <v>399</v>
      </c>
      <c r="J50" s="573" t="s">
        <v>400</v>
      </c>
      <c r="L50" s="158" t="s">
        <v>516</v>
      </c>
      <c r="M50" s="568" t="s">
        <v>512</v>
      </c>
      <c r="N50" s="161">
        <v>2</v>
      </c>
      <c r="O50" s="569">
        <v>2000</v>
      </c>
      <c r="P50" s="570">
        <v>2270</v>
      </c>
      <c r="Q50" s="571">
        <v>0.26</v>
      </c>
      <c r="R50" s="572">
        <v>0.39</v>
      </c>
      <c r="S50" s="568" t="s">
        <v>400</v>
      </c>
      <c r="T50" s="573" t="s">
        <v>401</v>
      </c>
    </row>
    <row r="51" spans="2:20" x14ac:dyDescent="0.3">
      <c r="B51" s="158" t="s">
        <v>517</v>
      </c>
      <c r="C51" s="568" t="s">
        <v>518</v>
      </c>
      <c r="D51" s="161">
        <v>1</v>
      </c>
      <c r="E51" s="569">
        <v>910</v>
      </c>
      <c r="F51" s="570">
        <v>710</v>
      </c>
      <c r="G51" s="571">
        <v>0.03</v>
      </c>
      <c r="H51" s="572">
        <v>0.05</v>
      </c>
      <c r="I51" s="568" t="s">
        <v>400</v>
      </c>
      <c r="J51" s="573" t="s">
        <v>400</v>
      </c>
      <c r="L51" s="158" t="s">
        <v>517</v>
      </c>
      <c r="M51" s="568" t="s">
        <v>518</v>
      </c>
      <c r="N51" s="161">
        <v>1</v>
      </c>
      <c r="O51" s="569">
        <v>1500</v>
      </c>
      <c r="P51" s="570">
        <v>1250</v>
      </c>
      <c r="Q51" s="571">
        <v>0.03</v>
      </c>
      <c r="R51" s="572">
        <v>0.05</v>
      </c>
      <c r="S51" s="568" t="s">
        <v>401</v>
      </c>
      <c r="T51" s="573" t="s">
        <v>401</v>
      </c>
    </row>
    <row r="52" spans="2:20" x14ac:dyDescent="0.3">
      <c r="B52" s="158" t="s">
        <v>519</v>
      </c>
      <c r="C52" s="568" t="s">
        <v>512</v>
      </c>
      <c r="D52" s="161">
        <v>3</v>
      </c>
      <c r="E52" s="569">
        <v>2170</v>
      </c>
      <c r="F52" s="570">
        <v>2010</v>
      </c>
      <c r="G52" s="571">
        <v>0.17</v>
      </c>
      <c r="H52" s="572">
        <v>0.28000000000000003</v>
      </c>
      <c r="I52" s="568" t="s">
        <v>400</v>
      </c>
      <c r="J52" s="573" t="s">
        <v>400</v>
      </c>
      <c r="L52" s="158" t="s">
        <v>519</v>
      </c>
      <c r="M52" s="568" t="s">
        <v>512</v>
      </c>
      <c r="N52" s="161">
        <v>3</v>
      </c>
      <c r="O52" s="569">
        <v>3500</v>
      </c>
      <c r="P52" s="570">
        <v>3520</v>
      </c>
      <c r="Q52" s="571">
        <v>0.17</v>
      </c>
      <c r="R52" s="572">
        <v>0.28000000000000003</v>
      </c>
      <c r="S52" s="568" t="s">
        <v>401</v>
      </c>
      <c r="T52" s="573" t="s">
        <v>401</v>
      </c>
    </row>
    <row r="53" spans="2:20" x14ac:dyDescent="0.3">
      <c r="B53" s="158" t="s">
        <v>520</v>
      </c>
      <c r="C53" s="568" t="s">
        <v>515</v>
      </c>
      <c r="D53" s="161">
        <v>1</v>
      </c>
      <c r="E53" s="569">
        <v>200</v>
      </c>
      <c r="F53" s="570">
        <v>400</v>
      </c>
      <c r="G53" s="571">
        <v>0</v>
      </c>
      <c r="H53" s="572">
        <v>0.02</v>
      </c>
      <c r="I53" s="568" t="s">
        <v>400</v>
      </c>
      <c r="J53" s="573" t="s">
        <v>400</v>
      </c>
      <c r="L53" s="158" t="s">
        <v>520</v>
      </c>
      <c r="M53" s="568" t="s">
        <v>515</v>
      </c>
      <c r="N53" s="161">
        <v>1</v>
      </c>
      <c r="O53" s="569">
        <v>350</v>
      </c>
      <c r="P53" s="570">
        <v>750</v>
      </c>
      <c r="Q53" s="571">
        <v>0</v>
      </c>
      <c r="R53" s="572">
        <v>0.02</v>
      </c>
      <c r="S53" s="568" t="s">
        <v>401</v>
      </c>
      <c r="T53" s="573" t="s">
        <v>401</v>
      </c>
    </row>
    <row r="54" spans="2:20" x14ac:dyDescent="0.3">
      <c r="B54" s="158" t="s">
        <v>521</v>
      </c>
      <c r="C54" s="568" t="s">
        <v>512</v>
      </c>
      <c r="D54" s="161">
        <v>3</v>
      </c>
      <c r="E54" s="569">
        <v>1970</v>
      </c>
      <c r="F54" s="570">
        <v>1610</v>
      </c>
      <c r="G54" s="571">
        <v>0.18</v>
      </c>
      <c r="H54" s="572">
        <v>0.28999999999999998</v>
      </c>
      <c r="I54" s="568" t="s">
        <v>400</v>
      </c>
      <c r="J54" s="573" t="s">
        <v>399</v>
      </c>
      <c r="L54" s="158" t="s">
        <v>521</v>
      </c>
      <c r="M54" s="568" t="s">
        <v>512</v>
      </c>
      <c r="N54" s="161">
        <v>3</v>
      </c>
      <c r="O54" s="569">
        <v>3150</v>
      </c>
      <c r="P54" s="570">
        <v>2770</v>
      </c>
      <c r="Q54" s="571">
        <v>0.18</v>
      </c>
      <c r="R54" s="572">
        <v>0.28999999999999998</v>
      </c>
      <c r="S54" s="568" t="s">
        <v>400</v>
      </c>
      <c r="T54" s="573" t="s">
        <v>400</v>
      </c>
    </row>
    <row r="55" spans="2:20" x14ac:dyDescent="0.3">
      <c r="B55" s="158" t="s">
        <v>522</v>
      </c>
      <c r="C55" s="568" t="s">
        <v>518</v>
      </c>
      <c r="D55" s="161">
        <v>1</v>
      </c>
      <c r="E55" s="569">
        <v>1600</v>
      </c>
      <c r="F55" s="570">
        <v>1200</v>
      </c>
      <c r="G55" s="571">
        <v>0.01</v>
      </c>
      <c r="H55" s="572">
        <v>0.03</v>
      </c>
      <c r="I55" s="568" t="s">
        <v>401</v>
      </c>
      <c r="J55" s="573" t="s">
        <v>400</v>
      </c>
      <c r="L55" s="158" t="s">
        <v>522</v>
      </c>
      <c r="M55" s="568" t="s">
        <v>518</v>
      </c>
      <c r="N55" s="161">
        <v>1</v>
      </c>
      <c r="O55" s="569">
        <v>1900</v>
      </c>
      <c r="P55" s="570">
        <v>1700</v>
      </c>
      <c r="Q55" s="571">
        <v>0.01</v>
      </c>
      <c r="R55" s="572">
        <v>0.03</v>
      </c>
      <c r="S55" s="568" t="s">
        <v>402</v>
      </c>
      <c r="T55" s="573" t="s">
        <v>402</v>
      </c>
    </row>
    <row r="56" spans="2:20" x14ac:dyDescent="0.3">
      <c r="B56" s="158" t="s">
        <v>523</v>
      </c>
      <c r="C56" s="568" t="s">
        <v>512</v>
      </c>
      <c r="D56" s="161">
        <v>3</v>
      </c>
      <c r="E56" s="569">
        <v>3570</v>
      </c>
      <c r="F56" s="570">
        <v>2810</v>
      </c>
      <c r="G56" s="571">
        <v>0.12</v>
      </c>
      <c r="H56" s="572">
        <v>0.22</v>
      </c>
      <c r="I56" s="568" t="s">
        <v>401</v>
      </c>
      <c r="J56" s="573" t="s">
        <v>400</v>
      </c>
      <c r="L56" s="158" t="s">
        <v>523</v>
      </c>
      <c r="M56" s="568" t="s">
        <v>512</v>
      </c>
      <c r="N56" s="161">
        <v>3</v>
      </c>
      <c r="O56" s="569">
        <v>5050</v>
      </c>
      <c r="P56" s="570">
        <v>4470</v>
      </c>
      <c r="Q56" s="571">
        <v>0.12</v>
      </c>
      <c r="R56" s="572">
        <v>0.22</v>
      </c>
      <c r="S56" s="568" t="s">
        <v>402</v>
      </c>
      <c r="T56" s="573" t="s">
        <v>402</v>
      </c>
    </row>
    <row r="57" spans="2:20" x14ac:dyDescent="0.3">
      <c r="B57" s="158" t="s">
        <v>524</v>
      </c>
      <c r="C57" s="568" t="s">
        <v>515</v>
      </c>
      <c r="D57" s="161">
        <v>1</v>
      </c>
      <c r="E57" s="569">
        <v>350</v>
      </c>
      <c r="F57" s="570">
        <v>250</v>
      </c>
      <c r="G57" s="571">
        <v>0.38</v>
      </c>
      <c r="H57" s="572">
        <v>0.36</v>
      </c>
      <c r="I57" s="568" t="s">
        <v>401</v>
      </c>
      <c r="J57" s="573" t="s">
        <v>401</v>
      </c>
      <c r="L57" s="158" t="s">
        <v>524</v>
      </c>
      <c r="M57" s="568" t="s">
        <v>515</v>
      </c>
      <c r="N57" s="161">
        <v>1</v>
      </c>
      <c r="O57" s="569">
        <v>600</v>
      </c>
      <c r="P57" s="570">
        <v>450</v>
      </c>
      <c r="Q57" s="571">
        <v>0.38</v>
      </c>
      <c r="R57" s="572">
        <v>0.36</v>
      </c>
      <c r="S57" s="568" t="s">
        <v>402</v>
      </c>
      <c r="T57" s="573" t="s">
        <v>402</v>
      </c>
    </row>
    <row r="58" spans="2:20" x14ac:dyDescent="0.3">
      <c r="B58" s="158" t="s">
        <v>525</v>
      </c>
      <c r="C58" s="568" t="s">
        <v>512</v>
      </c>
      <c r="D58" s="161">
        <v>3</v>
      </c>
      <c r="E58" s="569">
        <v>3220</v>
      </c>
      <c r="F58" s="570">
        <v>2560</v>
      </c>
      <c r="G58" s="571">
        <v>0.09</v>
      </c>
      <c r="H58" s="572">
        <v>0.21</v>
      </c>
      <c r="I58" s="568" t="s">
        <v>400</v>
      </c>
      <c r="J58" s="573" t="s">
        <v>400</v>
      </c>
      <c r="L58" s="158" t="s">
        <v>525</v>
      </c>
      <c r="M58" s="568" t="s">
        <v>512</v>
      </c>
      <c r="N58" s="161">
        <v>3</v>
      </c>
      <c r="O58" s="569">
        <v>4450</v>
      </c>
      <c r="P58" s="570">
        <v>4020</v>
      </c>
      <c r="Q58" s="571">
        <v>0.09</v>
      </c>
      <c r="R58" s="572">
        <v>0.21</v>
      </c>
      <c r="S58" s="568" t="s">
        <v>401</v>
      </c>
      <c r="T58" s="573" t="s">
        <v>401</v>
      </c>
    </row>
    <row r="59" spans="2:20" x14ac:dyDescent="0.3">
      <c r="B59" s="158" t="s">
        <v>526</v>
      </c>
      <c r="C59" s="568" t="s">
        <v>518</v>
      </c>
      <c r="D59" s="161">
        <v>1</v>
      </c>
      <c r="E59" s="569">
        <v>880</v>
      </c>
      <c r="F59" s="570">
        <v>675</v>
      </c>
      <c r="G59" s="571">
        <v>0.08</v>
      </c>
      <c r="H59" s="572">
        <v>0.03</v>
      </c>
      <c r="I59" s="568" t="s">
        <v>401</v>
      </c>
      <c r="J59" s="573" t="s">
        <v>401</v>
      </c>
      <c r="L59" s="158" t="s">
        <v>526</v>
      </c>
      <c r="M59" s="568" t="s">
        <v>518</v>
      </c>
      <c r="N59" s="161">
        <v>1</v>
      </c>
      <c r="O59" s="569">
        <v>1050</v>
      </c>
      <c r="P59" s="570">
        <v>920</v>
      </c>
      <c r="Q59" s="571">
        <v>0.08</v>
      </c>
      <c r="R59" s="572">
        <v>0.03</v>
      </c>
      <c r="S59" s="568" t="s">
        <v>403</v>
      </c>
      <c r="T59" s="573" t="s">
        <v>402</v>
      </c>
    </row>
    <row r="60" spans="2:20" x14ac:dyDescent="0.3">
      <c r="B60" s="158" t="s">
        <v>527</v>
      </c>
      <c r="C60" s="568" t="s">
        <v>512</v>
      </c>
      <c r="D60" s="161">
        <v>3</v>
      </c>
      <c r="E60" s="569">
        <v>4100</v>
      </c>
      <c r="F60" s="570">
        <v>3235</v>
      </c>
      <c r="G60" s="571">
        <v>0.1</v>
      </c>
      <c r="H60" s="572">
        <v>0.18</v>
      </c>
      <c r="I60" s="568" t="s">
        <v>402</v>
      </c>
      <c r="J60" s="573" t="s">
        <v>401</v>
      </c>
      <c r="L60" s="158" t="s">
        <v>527</v>
      </c>
      <c r="M60" s="568" t="s">
        <v>512</v>
      </c>
      <c r="N60" s="161">
        <v>3</v>
      </c>
      <c r="O60" s="569">
        <v>5500</v>
      </c>
      <c r="P60" s="570">
        <v>4940</v>
      </c>
      <c r="Q60" s="571">
        <v>0.1</v>
      </c>
      <c r="R60" s="572">
        <v>0.18</v>
      </c>
      <c r="S60" s="568" t="s">
        <v>403</v>
      </c>
      <c r="T60" s="573" t="s">
        <v>403</v>
      </c>
    </row>
    <row r="61" spans="2:20" x14ac:dyDescent="0.3">
      <c r="B61" s="158" t="s">
        <v>528</v>
      </c>
      <c r="C61" s="568" t="s">
        <v>515</v>
      </c>
      <c r="D61" s="161">
        <v>1</v>
      </c>
      <c r="E61" s="569">
        <v>700</v>
      </c>
      <c r="F61" s="570">
        <v>750</v>
      </c>
      <c r="G61" s="571">
        <v>0.01</v>
      </c>
      <c r="H61" s="572">
        <v>0.01</v>
      </c>
      <c r="I61" s="568" t="s">
        <v>402</v>
      </c>
      <c r="J61" s="573" t="s">
        <v>401</v>
      </c>
      <c r="L61" s="158" t="s">
        <v>528</v>
      </c>
      <c r="M61" s="568" t="s">
        <v>515</v>
      </c>
      <c r="N61" s="161">
        <v>1</v>
      </c>
      <c r="O61" s="569">
        <v>1000</v>
      </c>
      <c r="P61" s="570">
        <v>1100</v>
      </c>
      <c r="Q61" s="571">
        <v>0.01</v>
      </c>
      <c r="R61" s="572">
        <v>0.01</v>
      </c>
      <c r="S61" s="568" t="s">
        <v>403</v>
      </c>
      <c r="T61" s="573" t="s">
        <v>403</v>
      </c>
    </row>
    <row r="62" spans="2:20" x14ac:dyDescent="0.3">
      <c r="B62" s="159" t="s">
        <v>529</v>
      </c>
      <c r="C62" s="574" t="s">
        <v>512</v>
      </c>
      <c r="D62" s="526">
        <v>3</v>
      </c>
      <c r="E62" s="575">
        <v>3400</v>
      </c>
      <c r="F62" s="452">
        <v>2485</v>
      </c>
      <c r="G62" s="576">
        <v>0.08</v>
      </c>
      <c r="H62" s="577">
        <v>0.23</v>
      </c>
      <c r="I62" s="574" t="s">
        <v>401</v>
      </c>
      <c r="J62" s="578" t="s">
        <v>400</v>
      </c>
      <c r="L62" s="159" t="s">
        <v>529</v>
      </c>
      <c r="M62" s="574" t="s">
        <v>512</v>
      </c>
      <c r="N62" s="526">
        <v>3</v>
      </c>
      <c r="O62" s="575">
        <v>4500</v>
      </c>
      <c r="P62" s="452">
        <v>3840</v>
      </c>
      <c r="Q62" s="576">
        <v>0.08</v>
      </c>
      <c r="R62" s="577">
        <v>0.23</v>
      </c>
      <c r="S62" s="574" t="s">
        <v>401</v>
      </c>
      <c r="T62" s="578" t="s">
        <v>401</v>
      </c>
    </row>
    <row r="64" spans="2:20" ht="18" x14ac:dyDescent="0.35">
      <c r="B64" s="446" t="s">
        <v>547</v>
      </c>
      <c r="L64" s="446" t="s">
        <v>548</v>
      </c>
      <c r="N64" s="1"/>
    </row>
    <row r="65" spans="2:20" ht="15.6" x14ac:dyDescent="0.3">
      <c r="B65" s="556" t="s">
        <v>530</v>
      </c>
      <c r="L65" s="556" t="s">
        <v>531</v>
      </c>
      <c r="N65" s="1"/>
    </row>
    <row r="66" spans="2:20" x14ac:dyDescent="0.3">
      <c r="B66" s="557"/>
      <c r="C66" s="558"/>
      <c r="D66" s="101"/>
      <c r="E66" s="787" t="s">
        <v>506</v>
      </c>
      <c r="F66" s="788"/>
      <c r="G66" s="787" t="s">
        <v>507</v>
      </c>
      <c r="H66" s="788"/>
      <c r="I66" s="785" t="s">
        <v>508</v>
      </c>
      <c r="J66" s="786"/>
      <c r="L66" s="557"/>
      <c r="M66" s="558"/>
      <c r="N66" s="101"/>
      <c r="O66" s="787" t="s">
        <v>506</v>
      </c>
      <c r="P66" s="788"/>
      <c r="Q66" s="787" t="s">
        <v>507</v>
      </c>
      <c r="R66" s="788"/>
      <c r="S66" s="785" t="s">
        <v>508</v>
      </c>
      <c r="T66" s="786"/>
    </row>
    <row r="67" spans="2:20" ht="28.8" x14ac:dyDescent="0.3">
      <c r="B67" s="559" t="s">
        <v>5</v>
      </c>
      <c r="C67" s="560" t="s">
        <v>509</v>
      </c>
      <c r="D67" s="561" t="s">
        <v>510</v>
      </c>
      <c r="E67" s="278" t="s">
        <v>0</v>
      </c>
      <c r="F67" s="562" t="s">
        <v>1</v>
      </c>
      <c r="G67" s="278" t="s">
        <v>0</v>
      </c>
      <c r="H67" s="562" t="s">
        <v>1</v>
      </c>
      <c r="I67" s="563" t="s">
        <v>0</v>
      </c>
      <c r="J67" s="562" t="s">
        <v>1</v>
      </c>
      <c r="L67" s="559" t="s">
        <v>5</v>
      </c>
      <c r="M67" s="560" t="s">
        <v>509</v>
      </c>
      <c r="N67" s="561" t="s">
        <v>510</v>
      </c>
      <c r="O67" s="278" t="s">
        <v>0</v>
      </c>
      <c r="P67" s="562" t="s">
        <v>1</v>
      </c>
      <c r="Q67" s="278" t="s">
        <v>0</v>
      </c>
      <c r="R67" s="562" t="s">
        <v>1</v>
      </c>
      <c r="S67" s="563" t="s">
        <v>0</v>
      </c>
      <c r="T67" s="562" t="s">
        <v>1</v>
      </c>
    </row>
    <row r="68" spans="2:20" x14ac:dyDescent="0.3">
      <c r="B68" s="157" t="s">
        <v>529</v>
      </c>
      <c r="C68" s="564" t="s">
        <v>512</v>
      </c>
      <c r="D68" s="546">
        <v>3</v>
      </c>
      <c r="E68" s="565">
        <v>1820</v>
      </c>
      <c r="F68" s="456">
        <v>3610</v>
      </c>
      <c r="G68" s="566">
        <v>0.19</v>
      </c>
      <c r="H68" s="567">
        <v>0.17</v>
      </c>
      <c r="I68" s="585" t="s">
        <v>399</v>
      </c>
      <c r="J68" s="62" t="s">
        <v>401</v>
      </c>
      <c r="L68" s="157" t="s">
        <v>529</v>
      </c>
      <c r="M68" s="564" t="s">
        <v>512</v>
      </c>
      <c r="N68" s="546">
        <v>3</v>
      </c>
      <c r="O68" s="565">
        <v>2550</v>
      </c>
      <c r="P68" s="456">
        <v>4950</v>
      </c>
      <c r="Q68" s="566">
        <v>0.19</v>
      </c>
      <c r="R68" s="567">
        <v>0.17</v>
      </c>
      <c r="S68" s="564" t="s">
        <v>400</v>
      </c>
      <c r="T68" s="62" t="s">
        <v>402</v>
      </c>
    </row>
    <row r="69" spans="2:20" x14ac:dyDescent="0.3">
      <c r="B69" s="158" t="s">
        <v>532</v>
      </c>
      <c r="C69" s="568" t="s">
        <v>518</v>
      </c>
      <c r="D69" s="161">
        <v>1</v>
      </c>
      <c r="E69" s="569">
        <v>300</v>
      </c>
      <c r="F69" s="570">
        <v>500</v>
      </c>
      <c r="G69" s="571">
        <v>0.01</v>
      </c>
      <c r="H69" s="572">
        <v>0</v>
      </c>
      <c r="I69" s="586" t="s">
        <v>400</v>
      </c>
      <c r="J69" s="573" t="s">
        <v>401</v>
      </c>
      <c r="L69" s="158" t="s">
        <v>532</v>
      </c>
      <c r="M69" s="568" t="s">
        <v>518</v>
      </c>
      <c r="N69" s="161">
        <v>1</v>
      </c>
      <c r="O69" s="569">
        <v>450</v>
      </c>
      <c r="P69" s="570">
        <v>750</v>
      </c>
      <c r="Q69" s="571">
        <v>0.01</v>
      </c>
      <c r="R69" s="572">
        <v>0</v>
      </c>
      <c r="S69" s="568" t="s">
        <v>400</v>
      </c>
      <c r="T69" s="573" t="s">
        <v>402</v>
      </c>
    </row>
    <row r="70" spans="2:20" x14ac:dyDescent="0.3">
      <c r="B70" s="158" t="s">
        <v>533</v>
      </c>
      <c r="C70" s="568" t="s">
        <v>512</v>
      </c>
      <c r="D70" s="161">
        <v>3</v>
      </c>
      <c r="E70" s="569">
        <v>2120</v>
      </c>
      <c r="F70" s="570">
        <v>4110</v>
      </c>
      <c r="G70" s="571">
        <v>0.16</v>
      </c>
      <c r="H70" s="572">
        <v>0.15</v>
      </c>
      <c r="I70" s="586" t="s">
        <v>400</v>
      </c>
      <c r="J70" s="573" t="s">
        <v>402</v>
      </c>
      <c r="L70" s="158" t="s">
        <v>533</v>
      </c>
      <c r="M70" s="568" t="s">
        <v>512</v>
      </c>
      <c r="N70" s="161">
        <v>3</v>
      </c>
      <c r="O70" s="569">
        <v>3000</v>
      </c>
      <c r="P70" s="570">
        <v>5700</v>
      </c>
      <c r="Q70" s="571">
        <v>0.16</v>
      </c>
      <c r="R70" s="572">
        <v>0.15</v>
      </c>
      <c r="S70" s="568" t="s">
        <v>401</v>
      </c>
      <c r="T70" s="573" t="s">
        <v>403</v>
      </c>
    </row>
    <row r="71" spans="2:20" x14ac:dyDescent="0.3">
      <c r="B71" s="158" t="s">
        <v>524</v>
      </c>
      <c r="C71" s="568" t="s">
        <v>515</v>
      </c>
      <c r="D71" s="161">
        <v>1</v>
      </c>
      <c r="E71" s="569">
        <v>400</v>
      </c>
      <c r="F71" s="570">
        <v>450</v>
      </c>
      <c r="G71" s="571">
        <v>0.06</v>
      </c>
      <c r="H71" s="572">
        <v>0.03</v>
      </c>
      <c r="I71" s="586" t="s">
        <v>400</v>
      </c>
      <c r="J71" s="573" t="s">
        <v>402</v>
      </c>
      <c r="L71" s="158" t="s">
        <v>524</v>
      </c>
      <c r="M71" s="568" t="s">
        <v>515</v>
      </c>
      <c r="N71" s="161">
        <v>1</v>
      </c>
      <c r="O71" s="569">
        <v>450</v>
      </c>
      <c r="P71" s="570">
        <v>500</v>
      </c>
      <c r="Q71" s="571">
        <v>0.06</v>
      </c>
      <c r="R71" s="572">
        <v>0.03</v>
      </c>
      <c r="S71" s="568" t="s">
        <v>401</v>
      </c>
      <c r="T71" s="573" t="s">
        <v>403</v>
      </c>
    </row>
    <row r="72" spans="2:20" x14ac:dyDescent="0.3">
      <c r="B72" s="158" t="s">
        <v>538</v>
      </c>
      <c r="C72" s="568" t="s">
        <v>512</v>
      </c>
      <c r="D72" s="161">
        <v>3</v>
      </c>
      <c r="E72" s="569">
        <v>1720</v>
      </c>
      <c r="F72" s="570">
        <v>3660</v>
      </c>
      <c r="G72" s="571">
        <v>0.18</v>
      </c>
      <c r="H72" s="572">
        <v>0.17</v>
      </c>
      <c r="I72" s="586" t="s">
        <v>399</v>
      </c>
      <c r="J72" s="573" t="s">
        <v>401</v>
      </c>
      <c r="L72" s="158" t="s">
        <v>538</v>
      </c>
      <c r="M72" s="568" t="s">
        <v>512</v>
      </c>
      <c r="N72" s="161">
        <v>3</v>
      </c>
      <c r="O72" s="569">
        <v>2550</v>
      </c>
      <c r="P72" s="570">
        <v>5200</v>
      </c>
      <c r="Q72" s="571">
        <v>0.18</v>
      </c>
      <c r="R72" s="572">
        <v>0.17</v>
      </c>
      <c r="S72" s="568" t="s">
        <v>400</v>
      </c>
      <c r="T72" s="573" t="s">
        <v>402</v>
      </c>
    </row>
    <row r="73" spans="2:20" x14ac:dyDescent="0.3">
      <c r="B73" s="158" t="s">
        <v>526</v>
      </c>
      <c r="C73" s="568" t="s">
        <v>518</v>
      </c>
      <c r="D73" s="161">
        <v>1</v>
      </c>
      <c r="E73" s="569">
        <v>250</v>
      </c>
      <c r="F73" s="570">
        <v>500</v>
      </c>
      <c r="G73" s="571">
        <v>0.03</v>
      </c>
      <c r="H73" s="572">
        <v>0.03</v>
      </c>
      <c r="I73" s="586" t="s">
        <v>400</v>
      </c>
      <c r="J73" s="573" t="s">
        <v>401</v>
      </c>
      <c r="L73" s="158" t="s">
        <v>526</v>
      </c>
      <c r="M73" s="568" t="s">
        <v>518</v>
      </c>
      <c r="N73" s="161">
        <v>1</v>
      </c>
      <c r="O73" s="569">
        <v>450</v>
      </c>
      <c r="P73" s="570">
        <v>850</v>
      </c>
      <c r="Q73" s="571">
        <v>0.03</v>
      </c>
      <c r="R73" s="572">
        <v>0.03</v>
      </c>
      <c r="S73" s="568" t="s">
        <v>400</v>
      </c>
      <c r="T73" s="573" t="s">
        <v>403</v>
      </c>
    </row>
    <row r="74" spans="2:20" x14ac:dyDescent="0.3">
      <c r="B74" s="158" t="s">
        <v>539</v>
      </c>
      <c r="C74" s="568" t="s">
        <v>512</v>
      </c>
      <c r="D74" s="161">
        <v>3</v>
      </c>
      <c r="E74" s="569">
        <v>1970</v>
      </c>
      <c r="F74" s="570">
        <v>4160</v>
      </c>
      <c r="G74" s="571">
        <v>0.16</v>
      </c>
      <c r="H74" s="572">
        <v>0.15</v>
      </c>
      <c r="I74" s="586" t="s">
        <v>400</v>
      </c>
      <c r="J74" s="573" t="s">
        <v>401</v>
      </c>
      <c r="L74" s="158" t="s">
        <v>539</v>
      </c>
      <c r="M74" s="568" t="s">
        <v>512</v>
      </c>
      <c r="N74" s="161">
        <v>3</v>
      </c>
      <c r="O74" s="569">
        <v>3000</v>
      </c>
      <c r="P74" s="570">
        <v>6050</v>
      </c>
      <c r="Q74" s="571">
        <v>0.16</v>
      </c>
      <c r="R74" s="572">
        <v>0.15</v>
      </c>
      <c r="S74" s="568" t="s">
        <v>400</v>
      </c>
      <c r="T74" s="573" t="s">
        <v>403</v>
      </c>
    </row>
    <row r="75" spans="2:20" x14ac:dyDescent="0.3">
      <c r="B75" s="158" t="s">
        <v>520</v>
      </c>
      <c r="C75" s="568" t="s">
        <v>515</v>
      </c>
      <c r="D75" s="161">
        <v>2</v>
      </c>
      <c r="E75" s="569">
        <v>700</v>
      </c>
      <c r="F75" s="570">
        <v>1800</v>
      </c>
      <c r="G75" s="571">
        <v>0.06</v>
      </c>
      <c r="H75" s="572">
        <v>0.02</v>
      </c>
      <c r="I75" s="586" t="s">
        <v>399</v>
      </c>
      <c r="J75" s="573" t="s">
        <v>400</v>
      </c>
      <c r="L75" s="158" t="s">
        <v>520</v>
      </c>
      <c r="M75" s="568" t="s">
        <v>515</v>
      </c>
      <c r="N75" s="161">
        <v>2</v>
      </c>
      <c r="O75" s="569">
        <v>950</v>
      </c>
      <c r="P75" s="570">
        <v>2400</v>
      </c>
      <c r="Q75" s="571">
        <v>0.06</v>
      </c>
      <c r="R75" s="572">
        <v>0.02</v>
      </c>
      <c r="S75" s="568" t="s">
        <v>513</v>
      </c>
      <c r="T75" s="573" t="s">
        <v>401</v>
      </c>
    </row>
    <row r="76" spans="2:20" x14ac:dyDescent="0.3">
      <c r="B76" s="158" t="s">
        <v>521</v>
      </c>
      <c r="C76" s="568" t="s">
        <v>512</v>
      </c>
      <c r="D76" s="161">
        <v>3</v>
      </c>
      <c r="E76" s="569">
        <v>1270</v>
      </c>
      <c r="F76" s="570">
        <v>2360</v>
      </c>
      <c r="G76" s="571">
        <v>0.25</v>
      </c>
      <c r="H76" s="572">
        <v>0.22</v>
      </c>
      <c r="I76" s="586" t="s">
        <v>399</v>
      </c>
      <c r="J76" s="573" t="s">
        <v>400</v>
      </c>
      <c r="L76" s="158" t="s">
        <v>521</v>
      </c>
      <c r="M76" s="568" t="s">
        <v>512</v>
      </c>
      <c r="N76" s="161">
        <v>3</v>
      </c>
      <c r="O76" s="569">
        <v>2050</v>
      </c>
      <c r="P76" s="570">
        <v>3650</v>
      </c>
      <c r="Q76" s="571">
        <v>0.25</v>
      </c>
      <c r="R76" s="572">
        <v>0.22</v>
      </c>
      <c r="S76" s="568" t="s">
        <v>400</v>
      </c>
      <c r="T76" s="573" t="s">
        <v>402</v>
      </c>
    </row>
    <row r="77" spans="2:20" x14ac:dyDescent="0.3">
      <c r="B77" s="158" t="s">
        <v>522</v>
      </c>
      <c r="C77" s="568" t="s">
        <v>518</v>
      </c>
      <c r="D77" s="161">
        <v>1</v>
      </c>
      <c r="E77" s="569">
        <v>75</v>
      </c>
      <c r="F77" s="570">
        <v>225</v>
      </c>
      <c r="G77" s="571">
        <v>0</v>
      </c>
      <c r="H77" s="572">
        <v>0.01</v>
      </c>
      <c r="I77" s="586" t="s">
        <v>399</v>
      </c>
      <c r="J77" s="573" t="s">
        <v>400</v>
      </c>
      <c r="L77" s="158" t="s">
        <v>522</v>
      </c>
      <c r="M77" s="568" t="s">
        <v>518</v>
      </c>
      <c r="N77" s="161">
        <v>1</v>
      </c>
      <c r="O77" s="569">
        <v>150</v>
      </c>
      <c r="P77" s="570">
        <v>400</v>
      </c>
      <c r="Q77" s="571">
        <v>0</v>
      </c>
      <c r="R77" s="572">
        <v>0.01</v>
      </c>
      <c r="S77" s="568" t="s">
        <v>400</v>
      </c>
      <c r="T77" s="573" t="s">
        <v>401</v>
      </c>
    </row>
    <row r="78" spans="2:20" x14ac:dyDescent="0.3">
      <c r="B78" s="158" t="s">
        <v>540</v>
      </c>
      <c r="C78" s="568" t="s">
        <v>512</v>
      </c>
      <c r="D78" s="161">
        <v>3</v>
      </c>
      <c r="E78" s="569">
        <v>1345</v>
      </c>
      <c r="F78" s="570">
        <v>2585</v>
      </c>
      <c r="G78" s="571">
        <v>0.24</v>
      </c>
      <c r="H78" s="572">
        <v>0.22</v>
      </c>
      <c r="I78" s="586" t="s">
        <v>399</v>
      </c>
      <c r="J78" s="573" t="s">
        <v>400</v>
      </c>
      <c r="L78" s="158" t="s">
        <v>540</v>
      </c>
      <c r="M78" s="568" t="s">
        <v>512</v>
      </c>
      <c r="N78" s="161">
        <v>3</v>
      </c>
      <c r="O78" s="569">
        <v>2200</v>
      </c>
      <c r="P78" s="570">
        <v>4050</v>
      </c>
      <c r="Q78" s="571">
        <v>0.24</v>
      </c>
      <c r="R78" s="572">
        <v>0.22</v>
      </c>
      <c r="S78" s="568" t="s">
        <v>400</v>
      </c>
      <c r="T78" s="573" t="s">
        <v>402</v>
      </c>
    </row>
    <row r="79" spans="2:20" x14ac:dyDescent="0.3">
      <c r="B79" s="158" t="s">
        <v>522</v>
      </c>
      <c r="C79" s="568" t="s">
        <v>518</v>
      </c>
      <c r="D79" s="161">
        <v>1</v>
      </c>
      <c r="E79" s="569">
        <v>25</v>
      </c>
      <c r="F79" s="570">
        <v>175</v>
      </c>
      <c r="G79" s="571">
        <v>0</v>
      </c>
      <c r="H79" s="572">
        <v>0.01</v>
      </c>
      <c r="I79" s="586" t="s">
        <v>399</v>
      </c>
      <c r="J79" s="573" t="s">
        <v>400</v>
      </c>
      <c r="L79" s="158" t="s">
        <v>522</v>
      </c>
      <c r="M79" s="568" t="s">
        <v>518</v>
      </c>
      <c r="N79" s="161">
        <v>1</v>
      </c>
      <c r="O79" s="569">
        <v>50</v>
      </c>
      <c r="P79" s="570">
        <v>300</v>
      </c>
      <c r="Q79" s="571">
        <v>0</v>
      </c>
      <c r="R79" s="572">
        <v>0.01</v>
      </c>
      <c r="S79" s="568" t="s">
        <v>400</v>
      </c>
      <c r="T79" s="573" t="s">
        <v>401</v>
      </c>
    </row>
    <row r="80" spans="2:20" x14ac:dyDescent="0.3">
      <c r="B80" s="158" t="s">
        <v>537</v>
      </c>
      <c r="C80" s="568" t="s">
        <v>512</v>
      </c>
      <c r="D80" s="161">
        <v>3</v>
      </c>
      <c r="E80" s="569">
        <v>1370</v>
      </c>
      <c r="F80" s="570">
        <v>2760</v>
      </c>
      <c r="G80" s="571">
        <v>0.24</v>
      </c>
      <c r="H80" s="572">
        <v>0.22</v>
      </c>
      <c r="I80" s="586" t="s">
        <v>399</v>
      </c>
      <c r="J80" s="573" t="s">
        <v>400</v>
      </c>
      <c r="L80" s="158" t="s">
        <v>537</v>
      </c>
      <c r="M80" s="568" t="s">
        <v>512</v>
      </c>
      <c r="N80" s="161">
        <v>3</v>
      </c>
      <c r="O80" s="569">
        <v>22850</v>
      </c>
      <c r="P80" s="570">
        <v>4350</v>
      </c>
      <c r="Q80" s="571">
        <v>0.24</v>
      </c>
      <c r="R80" s="572">
        <v>0.22</v>
      </c>
      <c r="S80" s="568" t="s">
        <v>400</v>
      </c>
      <c r="T80" s="573" t="s">
        <v>402</v>
      </c>
    </row>
    <row r="81" spans="2:20" x14ac:dyDescent="0.3">
      <c r="B81" s="158" t="s">
        <v>514</v>
      </c>
      <c r="C81" s="568" t="s">
        <v>515</v>
      </c>
      <c r="D81" s="161">
        <v>1</v>
      </c>
      <c r="E81" s="569">
        <v>460</v>
      </c>
      <c r="F81" s="570">
        <v>1100</v>
      </c>
      <c r="G81" s="571">
        <v>0.08</v>
      </c>
      <c r="H81" s="572">
        <v>0.01</v>
      </c>
      <c r="I81" s="586" t="s">
        <v>399</v>
      </c>
      <c r="J81" s="573" t="s">
        <v>400</v>
      </c>
      <c r="L81" s="158" t="s">
        <v>514</v>
      </c>
      <c r="M81" s="568" t="s">
        <v>515</v>
      </c>
      <c r="N81" s="161">
        <v>1</v>
      </c>
      <c r="O81" s="569">
        <v>750</v>
      </c>
      <c r="P81" s="570">
        <v>1800</v>
      </c>
      <c r="Q81" s="571">
        <v>0.08</v>
      </c>
      <c r="R81" s="572">
        <v>0.01</v>
      </c>
      <c r="S81" s="568" t="s">
        <v>400</v>
      </c>
      <c r="T81" s="573" t="s">
        <v>402</v>
      </c>
    </row>
    <row r="82" spans="2:20" x14ac:dyDescent="0.3">
      <c r="B82" s="158" t="s">
        <v>516</v>
      </c>
      <c r="C82" s="568" t="s">
        <v>512</v>
      </c>
      <c r="D82" s="161">
        <v>2</v>
      </c>
      <c r="E82" s="569">
        <v>910</v>
      </c>
      <c r="F82" s="570">
        <v>1660</v>
      </c>
      <c r="G82" s="571">
        <v>0.33</v>
      </c>
      <c r="H82" s="572">
        <v>0.33</v>
      </c>
      <c r="I82" s="586" t="s">
        <v>399</v>
      </c>
      <c r="J82" s="573" t="s">
        <v>400</v>
      </c>
      <c r="L82" s="158" t="s">
        <v>516</v>
      </c>
      <c r="M82" s="568" t="s">
        <v>512</v>
      </c>
      <c r="N82" s="161">
        <v>2</v>
      </c>
      <c r="O82" s="569">
        <v>1500</v>
      </c>
      <c r="P82" s="570">
        <v>2550</v>
      </c>
      <c r="Q82" s="571">
        <v>0.33</v>
      </c>
      <c r="R82" s="572">
        <v>0.33</v>
      </c>
      <c r="S82" s="568" t="s">
        <v>400</v>
      </c>
      <c r="T82" s="573" t="s">
        <v>401</v>
      </c>
    </row>
    <row r="83" spans="2:20" x14ac:dyDescent="0.3">
      <c r="B83" s="158" t="s">
        <v>517</v>
      </c>
      <c r="C83" s="568" t="s">
        <v>518</v>
      </c>
      <c r="D83" s="161">
        <v>1</v>
      </c>
      <c r="E83" s="569">
        <v>90</v>
      </c>
      <c r="F83" s="570">
        <v>40</v>
      </c>
      <c r="G83" s="571">
        <v>0</v>
      </c>
      <c r="H83" s="572">
        <v>0.1</v>
      </c>
      <c r="I83" s="586" t="s">
        <v>399</v>
      </c>
      <c r="J83" s="573" t="s">
        <v>400</v>
      </c>
      <c r="L83" s="158" t="s">
        <v>517</v>
      </c>
      <c r="M83" s="568" t="s">
        <v>518</v>
      </c>
      <c r="N83" s="161">
        <v>1</v>
      </c>
      <c r="O83" s="569">
        <v>100</v>
      </c>
      <c r="P83" s="570">
        <v>50</v>
      </c>
      <c r="Q83" s="571">
        <v>0</v>
      </c>
      <c r="R83" s="572">
        <v>0.1</v>
      </c>
      <c r="S83" s="568" t="s">
        <v>400</v>
      </c>
      <c r="T83" s="573" t="s">
        <v>401</v>
      </c>
    </row>
    <row r="84" spans="2:20" x14ac:dyDescent="0.3">
      <c r="B84" s="159" t="s">
        <v>511</v>
      </c>
      <c r="C84" s="579" t="s">
        <v>512</v>
      </c>
      <c r="D84" s="526">
        <v>2</v>
      </c>
      <c r="E84" s="468">
        <v>1000</v>
      </c>
      <c r="F84" s="580">
        <v>1700</v>
      </c>
      <c r="G84" s="581">
        <v>0.32</v>
      </c>
      <c r="H84" s="582">
        <v>0.33</v>
      </c>
      <c r="I84" s="587" t="s">
        <v>399</v>
      </c>
      <c r="J84" s="583" t="s">
        <v>400</v>
      </c>
      <c r="L84" s="159" t="s">
        <v>511</v>
      </c>
      <c r="M84" s="579" t="s">
        <v>512</v>
      </c>
      <c r="N84" s="526">
        <v>2</v>
      </c>
      <c r="O84" s="468">
        <v>1600</v>
      </c>
      <c r="P84" s="580">
        <v>2600</v>
      </c>
      <c r="Q84" s="581">
        <v>0.32</v>
      </c>
      <c r="R84" s="582">
        <v>0.33</v>
      </c>
      <c r="S84" s="579" t="s">
        <v>400</v>
      </c>
      <c r="T84" s="583" t="s">
        <v>401</v>
      </c>
    </row>
  </sheetData>
  <mergeCells count="24">
    <mergeCell ref="S66:T66"/>
    <mergeCell ref="E46:F46"/>
    <mergeCell ref="G46:H46"/>
    <mergeCell ref="I46:J46"/>
    <mergeCell ref="O46:P46"/>
    <mergeCell ref="Q46:R46"/>
    <mergeCell ref="S46:T46"/>
    <mergeCell ref="E66:F66"/>
    <mergeCell ref="G66:H66"/>
    <mergeCell ref="I66:J66"/>
    <mergeCell ref="O66:P66"/>
    <mergeCell ref="Q66:R66"/>
    <mergeCell ref="S24:T24"/>
    <mergeCell ref="E4:F4"/>
    <mergeCell ref="G4:H4"/>
    <mergeCell ref="I4:J4"/>
    <mergeCell ref="O4:P4"/>
    <mergeCell ref="Q4:R4"/>
    <mergeCell ref="S4:T4"/>
    <mergeCell ref="E24:F24"/>
    <mergeCell ref="G24:H24"/>
    <mergeCell ref="I24:J24"/>
    <mergeCell ref="O24:P24"/>
    <mergeCell ref="Q24:R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D5"/>
  <sheetViews>
    <sheetView workbookViewId="0">
      <selection activeCell="C12" sqref="C12"/>
    </sheetView>
  </sheetViews>
  <sheetFormatPr defaultRowHeight="14.4" x14ac:dyDescent="0.3"/>
  <cols>
    <col min="2" max="2" width="17.44140625" customWidth="1"/>
    <col min="6" max="6" width="17.21875" bestFit="1" customWidth="1"/>
    <col min="8" max="8" width="12.77734375" bestFit="1" customWidth="1"/>
  </cols>
  <sheetData>
    <row r="2" spans="2:4" x14ac:dyDescent="0.3">
      <c r="B2" s="557" t="s">
        <v>672</v>
      </c>
      <c r="C2" s="733">
        <v>2020</v>
      </c>
      <c r="D2" s="734">
        <v>2040</v>
      </c>
    </row>
    <row r="3" spans="2:4" x14ac:dyDescent="0.3">
      <c r="B3" s="157" t="s">
        <v>95</v>
      </c>
      <c r="C3" s="565">
        <v>309816</v>
      </c>
      <c r="D3" s="456">
        <v>574888</v>
      </c>
    </row>
    <row r="4" spans="2:4" x14ac:dyDescent="0.3">
      <c r="B4" s="158" t="s">
        <v>4</v>
      </c>
      <c r="C4" s="575">
        <v>63456</v>
      </c>
      <c r="D4" s="452">
        <v>117748</v>
      </c>
    </row>
    <row r="5" spans="2:4" x14ac:dyDescent="0.3">
      <c r="B5" s="774" t="s">
        <v>93</v>
      </c>
      <c r="C5" s="590">
        <v>373272</v>
      </c>
      <c r="D5" s="591">
        <v>692636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AV107"/>
  <sheetViews>
    <sheetView topLeftCell="X1" zoomScale="80" zoomScaleNormal="80" workbookViewId="0">
      <selection activeCell="AV15" sqref="AV15"/>
    </sheetView>
  </sheetViews>
  <sheetFormatPr defaultRowHeight="14.4" x14ac:dyDescent="0.3"/>
  <cols>
    <col min="2" max="2" width="53.21875" customWidth="1"/>
    <col min="3" max="3" width="13.109375" customWidth="1"/>
    <col min="4" max="4" width="10.77734375" style="1" customWidth="1"/>
    <col min="5" max="5" width="10.21875" customWidth="1"/>
    <col min="6" max="6" width="9" customWidth="1"/>
    <col min="7" max="7" width="8.88671875" customWidth="1"/>
    <col min="8" max="8" width="10.5546875" customWidth="1"/>
    <col min="9" max="12" width="9.109375" customWidth="1"/>
    <col min="13" max="13" width="11.77734375" customWidth="1"/>
    <col min="14" max="16" width="10.5546875" customWidth="1"/>
    <col min="17" max="18" width="9.44140625" customWidth="1"/>
    <col min="19" max="19" width="10.44140625" customWidth="1"/>
    <col min="20" max="20" width="10.5546875" customWidth="1"/>
    <col min="22" max="22" width="8.109375" customWidth="1"/>
    <col min="23" max="23" width="52.5546875" customWidth="1"/>
    <col min="24" max="24" width="13.44140625" bestFit="1" customWidth="1"/>
    <col min="36" max="36" width="11.109375" customWidth="1"/>
    <col min="37" max="37" width="10.21875" customWidth="1"/>
    <col min="38" max="38" width="12.21875" customWidth="1"/>
    <col min="39" max="39" width="11.77734375" customWidth="1"/>
  </cols>
  <sheetData>
    <row r="2" spans="2:48" ht="42.6" customHeight="1" x14ac:dyDescent="0.3">
      <c r="C2" s="787" t="s">
        <v>668</v>
      </c>
      <c r="D2" s="790"/>
      <c r="E2" s="788"/>
      <c r="F2" s="787" t="s">
        <v>667</v>
      </c>
      <c r="G2" s="790"/>
      <c r="H2" s="788"/>
      <c r="I2" s="787" t="s">
        <v>655</v>
      </c>
      <c r="J2" s="790"/>
      <c r="K2" s="788"/>
      <c r="L2" s="787" t="s">
        <v>656</v>
      </c>
      <c r="M2" s="790"/>
      <c r="N2" s="788"/>
      <c r="O2" s="789" t="s">
        <v>684</v>
      </c>
      <c r="P2" s="785"/>
      <c r="Q2" s="786"/>
      <c r="R2" s="789" t="s">
        <v>685</v>
      </c>
      <c r="S2" s="785"/>
      <c r="T2" s="786"/>
      <c r="X2" s="598" t="s">
        <v>552</v>
      </c>
      <c r="Y2" s="552"/>
      <c r="Z2" s="552"/>
      <c r="AA2" s="552"/>
      <c r="AB2" s="552"/>
      <c r="AD2" s="551"/>
      <c r="AE2" s="552"/>
      <c r="AF2" s="552"/>
      <c r="AG2" s="552"/>
      <c r="AH2" s="552"/>
    </row>
    <row r="3" spans="2:48" ht="15" thickBot="1" x14ac:dyDescent="0.35">
      <c r="C3" s="752" t="s">
        <v>0</v>
      </c>
      <c r="D3" s="753" t="s">
        <v>1</v>
      </c>
      <c r="E3" s="754" t="s">
        <v>669</v>
      </c>
      <c r="F3" s="752" t="s">
        <v>0</v>
      </c>
      <c r="G3" s="753" t="s">
        <v>1</v>
      </c>
      <c r="H3" s="754" t="s">
        <v>669</v>
      </c>
      <c r="I3" s="752" t="s">
        <v>0</v>
      </c>
      <c r="J3" s="753" t="s">
        <v>1</v>
      </c>
      <c r="K3" s="754" t="s">
        <v>669</v>
      </c>
      <c r="L3" s="752" t="s">
        <v>0</v>
      </c>
      <c r="M3" s="753" t="s">
        <v>1</v>
      </c>
      <c r="N3" s="754" t="s">
        <v>669</v>
      </c>
      <c r="O3" s="752" t="s">
        <v>0</v>
      </c>
      <c r="P3" s="753" t="s">
        <v>1</v>
      </c>
      <c r="Q3" s="754" t="s">
        <v>669</v>
      </c>
      <c r="R3" s="752" t="s">
        <v>0</v>
      </c>
      <c r="S3" s="753" t="s">
        <v>1</v>
      </c>
      <c r="T3" s="754" t="s">
        <v>669</v>
      </c>
      <c r="X3" s="765"/>
      <c r="Y3" s="596" t="s">
        <v>229</v>
      </c>
      <c r="Z3" s="764">
        <v>0</v>
      </c>
      <c r="AA3" s="764">
        <v>1</v>
      </c>
      <c r="AB3" s="764">
        <v>2</v>
      </c>
      <c r="AC3" s="764">
        <v>3</v>
      </c>
      <c r="AD3" s="764">
        <v>4</v>
      </c>
      <c r="AE3" s="764">
        <v>5</v>
      </c>
      <c r="AF3" s="764">
        <v>6</v>
      </c>
      <c r="AG3" s="764">
        <v>7</v>
      </c>
      <c r="AH3" s="764">
        <v>8</v>
      </c>
      <c r="AI3" s="764">
        <v>9</v>
      </c>
      <c r="AJ3" s="764">
        <v>10</v>
      </c>
      <c r="AK3" s="764">
        <v>11</v>
      </c>
      <c r="AL3" s="764">
        <v>12</v>
      </c>
      <c r="AM3" s="764">
        <v>13</v>
      </c>
      <c r="AN3" s="764">
        <v>14</v>
      </c>
      <c r="AO3" s="764">
        <v>15</v>
      </c>
      <c r="AP3" s="764">
        <v>16</v>
      </c>
      <c r="AQ3" s="764">
        <v>17</v>
      </c>
      <c r="AR3" s="764">
        <v>18</v>
      </c>
      <c r="AS3" s="764">
        <v>19</v>
      </c>
      <c r="AT3" s="764">
        <v>20</v>
      </c>
      <c r="AU3" s="764">
        <v>21</v>
      </c>
      <c r="AV3" s="764">
        <v>22</v>
      </c>
    </row>
    <row r="4" spans="2:48" ht="15" thickBot="1" x14ac:dyDescent="0.35">
      <c r="B4" s="97" t="s">
        <v>657</v>
      </c>
      <c r="C4" s="569">
        <f>I41</f>
        <v>22627</v>
      </c>
      <c r="D4" s="553">
        <f t="shared" ref="D4" si="0">J41</f>
        <v>16899.5</v>
      </c>
      <c r="E4" s="570">
        <f>C4+D4</f>
        <v>39526.5</v>
      </c>
      <c r="F4" s="569">
        <f>K41</f>
        <v>3043</v>
      </c>
      <c r="G4" s="553">
        <f>L41</f>
        <v>4595.5</v>
      </c>
      <c r="H4" s="570">
        <f>F4+G4</f>
        <v>7638.5</v>
      </c>
      <c r="I4" s="569">
        <f>Q41</f>
        <v>508574</v>
      </c>
      <c r="J4" s="553">
        <f t="shared" ref="J4" si="1">R41</f>
        <v>271196.5</v>
      </c>
      <c r="K4" s="570">
        <f>I4+J4</f>
        <v>779770.5</v>
      </c>
      <c r="L4" s="569">
        <f>S41</f>
        <v>53426</v>
      </c>
      <c r="M4" s="553">
        <f>T41</f>
        <v>66303.5</v>
      </c>
      <c r="N4" s="570">
        <f>L4+M4</f>
        <v>119729.5</v>
      </c>
      <c r="O4" s="569">
        <f>(I4/(60*60))*2</f>
        <v>282.54111111111109</v>
      </c>
      <c r="P4" s="569">
        <f t="shared" ref="P4:T4" si="2">(J4/(60*60))*2</f>
        <v>150.66472222222222</v>
      </c>
      <c r="Q4" s="569">
        <f t="shared" si="2"/>
        <v>433.20583333333332</v>
      </c>
      <c r="R4" s="569">
        <f t="shared" si="2"/>
        <v>29.681111111111111</v>
      </c>
      <c r="S4" s="569">
        <f t="shared" si="2"/>
        <v>36.835277777777776</v>
      </c>
      <c r="T4" s="569">
        <f t="shared" si="2"/>
        <v>66.516388888888883</v>
      </c>
      <c r="U4" s="97" t="s">
        <v>657</v>
      </c>
      <c r="X4" s="767"/>
      <c r="Y4" s="772" t="s">
        <v>230</v>
      </c>
      <c r="Z4" s="594">
        <v>2018</v>
      </c>
      <c r="AA4" s="764">
        <v>2019</v>
      </c>
      <c r="AB4" s="770">
        <v>2020</v>
      </c>
      <c r="AC4" s="764">
        <v>2021</v>
      </c>
      <c r="AD4" s="764">
        <v>2022</v>
      </c>
      <c r="AE4" s="764">
        <v>2023</v>
      </c>
      <c r="AF4" s="764">
        <v>2024</v>
      </c>
      <c r="AG4" s="764">
        <v>2025</v>
      </c>
      <c r="AH4" s="764">
        <v>2026</v>
      </c>
      <c r="AI4" s="764">
        <v>2027</v>
      </c>
      <c r="AJ4" s="764">
        <v>2028</v>
      </c>
      <c r="AK4" s="764">
        <v>2029</v>
      </c>
      <c r="AL4" s="764">
        <v>2030</v>
      </c>
      <c r="AM4" s="764">
        <v>2031</v>
      </c>
      <c r="AN4" s="764">
        <v>2032</v>
      </c>
      <c r="AO4" s="764">
        <v>2033</v>
      </c>
      <c r="AP4" s="764">
        <v>2034</v>
      </c>
      <c r="AQ4" s="764">
        <v>2035</v>
      </c>
      <c r="AR4" s="764">
        <v>2036</v>
      </c>
      <c r="AS4" s="764">
        <v>2037</v>
      </c>
      <c r="AT4" s="594">
        <v>2038</v>
      </c>
      <c r="AU4" s="764">
        <v>2039</v>
      </c>
      <c r="AV4" s="770">
        <v>2040</v>
      </c>
    </row>
    <row r="5" spans="2:48" ht="15" thickBot="1" x14ac:dyDescent="0.35">
      <c r="B5" s="757" t="s">
        <v>658</v>
      </c>
      <c r="C5" s="569">
        <f>I63</f>
        <v>13200.7</v>
      </c>
      <c r="D5" s="553">
        <f t="shared" ref="D5" si="3">J63</f>
        <v>27052.699999999997</v>
      </c>
      <c r="E5" s="570">
        <f t="shared" ref="E5:E14" si="4">C5+D5</f>
        <v>40253.399999999994</v>
      </c>
      <c r="F5" s="569">
        <f>K63</f>
        <v>2999.3</v>
      </c>
      <c r="G5" s="553">
        <f>L63</f>
        <v>5417.3</v>
      </c>
      <c r="H5" s="570">
        <f t="shared" ref="H5:H14" si="5">F5+G5</f>
        <v>8416.6</v>
      </c>
      <c r="I5" s="569">
        <f>Q63</f>
        <v>95944</v>
      </c>
      <c r="J5" s="553">
        <f t="shared" ref="J5" si="6">R63</f>
        <v>1052830</v>
      </c>
      <c r="K5" s="570">
        <f t="shared" ref="K5:K14" si="7">I5+J5</f>
        <v>1148774</v>
      </c>
      <c r="L5" s="569">
        <f>S63</f>
        <v>17656</v>
      </c>
      <c r="M5" s="553">
        <f>T63</f>
        <v>169170</v>
      </c>
      <c r="N5" s="570">
        <f t="shared" ref="N5:N14" si="8">L5+M5</f>
        <v>186826</v>
      </c>
      <c r="O5" s="569">
        <f t="shared" ref="O5:O15" si="9">(I5/(60*60))*2</f>
        <v>53.30222222222222</v>
      </c>
      <c r="P5" s="569">
        <f t="shared" ref="P5:P15" si="10">(J5/(60*60))*2</f>
        <v>584.90555555555557</v>
      </c>
      <c r="Q5" s="569">
        <f t="shared" ref="Q5:Q15" si="11">(K5/(60*60))*2</f>
        <v>638.20777777777778</v>
      </c>
      <c r="R5" s="569">
        <f t="shared" ref="R5:R15" si="12">(L5/(60*60))*2</f>
        <v>9.8088888888888892</v>
      </c>
      <c r="S5" s="569">
        <f t="shared" ref="S5:S15" si="13">(M5/(60*60))*2</f>
        <v>93.983333333333334</v>
      </c>
      <c r="T5" s="569">
        <f t="shared" ref="T5:T15" si="14">(N5/(60*60))*2</f>
        <v>103.79222222222222</v>
      </c>
      <c r="U5" s="757" t="s">
        <v>658</v>
      </c>
      <c r="X5" s="595" t="s">
        <v>502</v>
      </c>
      <c r="Y5" s="766"/>
      <c r="Z5" s="761"/>
      <c r="AA5" s="603"/>
      <c r="AB5" s="599"/>
      <c r="AC5" s="603"/>
      <c r="AD5" s="603"/>
      <c r="AE5" s="603"/>
      <c r="AF5" s="603"/>
      <c r="AG5" s="603"/>
      <c r="AH5" s="603"/>
      <c r="AI5" s="603"/>
      <c r="AJ5" s="603"/>
      <c r="AK5" s="603"/>
      <c r="AL5" s="603"/>
      <c r="AM5" s="603"/>
      <c r="AN5" s="603"/>
      <c r="AO5" s="603"/>
      <c r="AP5" s="603"/>
      <c r="AQ5" s="603"/>
      <c r="AR5" s="603"/>
      <c r="AS5" s="768"/>
      <c r="AT5" s="771"/>
      <c r="AU5" s="768"/>
      <c r="AV5" s="601"/>
    </row>
    <row r="6" spans="2:48" ht="15" thickBot="1" x14ac:dyDescent="0.35">
      <c r="B6" s="758" t="s">
        <v>665</v>
      </c>
      <c r="C6" s="755">
        <f>C4+C5</f>
        <v>35827.699999999997</v>
      </c>
      <c r="D6" s="745">
        <f t="shared" ref="D6:N6" si="15">D4+D5</f>
        <v>43952.2</v>
      </c>
      <c r="E6" s="756">
        <f>E4+E5</f>
        <v>79779.899999999994</v>
      </c>
      <c r="F6" s="755">
        <f t="shared" si="15"/>
        <v>6042.3</v>
      </c>
      <c r="G6" s="745">
        <f t="shared" si="15"/>
        <v>10012.799999999999</v>
      </c>
      <c r="H6" s="756">
        <f t="shared" si="15"/>
        <v>16055.1</v>
      </c>
      <c r="I6" s="755">
        <f t="shared" si="15"/>
        <v>604518</v>
      </c>
      <c r="J6" s="745">
        <f t="shared" si="15"/>
        <v>1324026.5</v>
      </c>
      <c r="K6" s="756">
        <f t="shared" si="15"/>
        <v>1928544.5</v>
      </c>
      <c r="L6" s="755">
        <f t="shared" si="15"/>
        <v>71082</v>
      </c>
      <c r="M6" s="745">
        <f t="shared" si="15"/>
        <v>235473.5</v>
      </c>
      <c r="N6" s="756">
        <f t="shared" si="15"/>
        <v>306555.5</v>
      </c>
      <c r="O6" s="750">
        <f t="shared" si="9"/>
        <v>335.84333333333331</v>
      </c>
      <c r="P6" s="750">
        <f t="shared" si="10"/>
        <v>735.57027777777773</v>
      </c>
      <c r="Q6" s="128">
        <f t="shared" si="11"/>
        <v>1071.4136111111111</v>
      </c>
      <c r="R6" s="783">
        <f t="shared" si="12"/>
        <v>39.49</v>
      </c>
      <c r="S6" s="750">
        <f t="shared" si="13"/>
        <v>130.81861111111112</v>
      </c>
      <c r="T6" s="128">
        <f t="shared" si="14"/>
        <v>170.30861111111111</v>
      </c>
      <c r="U6" s="759" t="s">
        <v>665</v>
      </c>
      <c r="X6" s="560" t="s">
        <v>95</v>
      </c>
      <c r="Y6" s="597">
        <f>(AT6-Z6)/20</f>
        <v>102.0691111111111</v>
      </c>
      <c r="Z6" s="762">
        <f>Q6</f>
        <v>1071.4136111111111</v>
      </c>
      <c r="AA6" s="604">
        <f>Z6+$Y6</f>
        <v>1173.4827222222223</v>
      </c>
      <c r="AB6" s="769">
        <f>AA6+$Y6</f>
        <v>1275.5518333333334</v>
      </c>
      <c r="AC6" s="604">
        <f t="shared" ref="AC6:AS6" si="16">AB6+$Y6</f>
        <v>1377.6209444444446</v>
      </c>
      <c r="AD6" s="604">
        <f t="shared" si="16"/>
        <v>1479.6900555555558</v>
      </c>
      <c r="AE6" s="604">
        <f t="shared" si="16"/>
        <v>1581.7591666666669</v>
      </c>
      <c r="AF6" s="604">
        <f t="shared" si="16"/>
        <v>1683.8282777777781</v>
      </c>
      <c r="AG6" s="604">
        <f t="shared" si="16"/>
        <v>1785.8973888888893</v>
      </c>
      <c r="AH6" s="604">
        <f t="shared" si="16"/>
        <v>1887.9665000000005</v>
      </c>
      <c r="AI6" s="604">
        <f t="shared" si="16"/>
        <v>1990.0356111111116</v>
      </c>
      <c r="AJ6" s="604">
        <f t="shared" si="16"/>
        <v>2092.1047222222228</v>
      </c>
      <c r="AK6" s="604">
        <f t="shared" si="16"/>
        <v>2194.1738333333337</v>
      </c>
      <c r="AL6" s="604">
        <f t="shared" si="16"/>
        <v>2296.2429444444447</v>
      </c>
      <c r="AM6" s="604">
        <f t="shared" si="16"/>
        <v>2398.3120555555556</v>
      </c>
      <c r="AN6" s="604">
        <f t="shared" si="16"/>
        <v>2500.3811666666666</v>
      </c>
      <c r="AO6" s="604">
        <f t="shared" si="16"/>
        <v>2602.4502777777775</v>
      </c>
      <c r="AP6" s="604">
        <f t="shared" si="16"/>
        <v>2704.5193888888884</v>
      </c>
      <c r="AQ6" s="604">
        <f t="shared" si="16"/>
        <v>2806.5884999999994</v>
      </c>
      <c r="AR6" s="604">
        <f t="shared" si="16"/>
        <v>2908.6576111111103</v>
      </c>
      <c r="AS6" s="604">
        <f t="shared" si="16"/>
        <v>3010.7267222222213</v>
      </c>
      <c r="AT6" s="762">
        <f>Q12</f>
        <v>3112.7958333333331</v>
      </c>
      <c r="AU6" s="604">
        <f t="shared" ref="AU6:AV6" si="17">AT6+$Y6</f>
        <v>3214.8649444444441</v>
      </c>
      <c r="AV6" s="769">
        <f t="shared" si="17"/>
        <v>3316.934055555555</v>
      </c>
    </row>
    <row r="7" spans="2:48" x14ac:dyDescent="0.3">
      <c r="B7" s="757" t="s">
        <v>659</v>
      </c>
      <c r="C7" s="569">
        <f>I84</f>
        <v>22627</v>
      </c>
      <c r="D7" s="553">
        <f t="shared" ref="D7" si="18">J84</f>
        <v>16883.399999999998</v>
      </c>
      <c r="E7" s="570">
        <f t="shared" si="4"/>
        <v>39510.399999999994</v>
      </c>
      <c r="F7" s="569">
        <f>K84</f>
        <v>3043</v>
      </c>
      <c r="G7" s="553">
        <f>L84</f>
        <v>4611.6000000000004</v>
      </c>
      <c r="H7" s="570">
        <f t="shared" si="5"/>
        <v>7654.6</v>
      </c>
      <c r="I7" s="569">
        <f>Q84</f>
        <v>405703</v>
      </c>
      <c r="J7" s="553">
        <f t="shared" ref="J7" si="19">R84</f>
        <v>199502.5</v>
      </c>
      <c r="K7" s="570">
        <f t="shared" si="7"/>
        <v>605205.5</v>
      </c>
      <c r="L7" s="569">
        <f>S84</f>
        <v>43397</v>
      </c>
      <c r="M7" s="553">
        <f>T84</f>
        <v>48447.5</v>
      </c>
      <c r="N7" s="570">
        <f t="shared" si="8"/>
        <v>91844.5</v>
      </c>
      <c r="O7" s="569">
        <f t="shared" si="9"/>
        <v>225.39055555555555</v>
      </c>
      <c r="P7" s="569">
        <f t="shared" si="10"/>
        <v>110.83472222222223</v>
      </c>
      <c r="Q7" s="569">
        <f t="shared" si="11"/>
        <v>336.22527777777776</v>
      </c>
      <c r="R7" s="569">
        <f t="shared" si="12"/>
        <v>24.109444444444446</v>
      </c>
      <c r="S7" s="569">
        <f t="shared" si="13"/>
        <v>26.915277777777778</v>
      </c>
      <c r="T7" s="569">
        <f t="shared" si="14"/>
        <v>51.024722222222223</v>
      </c>
      <c r="U7" s="757" t="s">
        <v>659</v>
      </c>
      <c r="X7" s="560" t="s">
        <v>4</v>
      </c>
      <c r="Y7" s="597">
        <f>(AT7-Z7)/20</f>
        <v>20.235055555555554</v>
      </c>
      <c r="Z7" s="762">
        <f>T6</f>
        <v>170.30861111111111</v>
      </c>
      <c r="AA7" s="604">
        <f>Z7+$Y7</f>
        <v>190.54366666666667</v>
      </c>
      <c r="AB7" s="600">
        <f t="shared" ref="AB7:AS7" si="20">AA7+$Y7</f>
        <v>210.77872222222223</v>
      </c>
      <c r="AC7" s="604">
        <f t="shared" si="20"/>
        <v>231.01377777777779</v>
      </c>
      <c r="AD7" s="604">
        <f t="shared" si="20"/>
        <v>251.24883333333335</v>
      </c>
      <c r="AE7" s="604">
        <f t="shared" si="20"/>
        <v>271.48388888888888</v>
      </c>
      <c r="AF7" s="604">
        <f t="shared" si="20"/>
        <v>291.71894444444445</v>
      </c>
      <c r="AG7" s="604">
        <f t="shared" si="20"/>
        <v>311.95400000000001</v>
      </c>
      <c r="AH7" s="604">
        <f t="shared" si="20"/>
        <v>332.18905555555557</v>
      </c>
      <c r="AI7" s="604">
        <f t="shared" si="20"/>
        <v>352.42411111111113</v>
      </c>
      <c r="AJ7" s="604">
        <f t="shared" si="20"/>
        <v>372.65916666666669</v>
      </c>
      <c r="AK7" s="604">
        <f t="shared" si="20"/>
        <v>392.89422222222225</v>
      </c>
      <c r="AL7" s="604">
        <f t="shared" si="20"/>
        <v>413.12927777777782</v>
      </c>
      <c r="AM7" s="604">
        <f t="shared" si="20"/>
        <v>433.36433333333338</v>
      </c>
      <c r="AN7" s="604">
        <f t="shared" si="20"/>
        <v>453.59938888888894</v>
      </c>
      <c r="AO7" s="604">
        <f t="shared" si="20"/>
        <v>473.8344444444445</v>
      </c>
      <c r="AP7" s="604">
        <f t="shared" si="20"/>
        <v>494.06950000000006</v>
      </c>
      <c r="AQ7" s="604">
        <f t="shared" si="20"/>
        <v>514.30455555555557</v>
      </c>
      <c r="AR7" s="604">
        <f t="shared" si="20"/>
        <v>534.53961111111107</v>
      </c>
      <c r="AS7" s="604">
        <f t="shared" si="20"/>
        <v>554.77466666666658</v>
      </c>
      <c r="AT7" s="762">
        <f>T12</f>
        <v>575.00972222222219</v>
      </c>
      <c r="AU7" s="604">
        <f t="shared" ref="AU7:AV7" si="21">AT7+$Y7</f>
        <v>595.2447777777777</v>
      </c>
      <c r="AV7" s="600">
        <f t="shared" si="21"/>
        <v>615.4798333333332</v>
      </c>
    </row>
    <row r="8" spans="2:48" ht="15" thickBot="1" x14ac:dyDescent="0.35">
      <c r="B8" s="757" t="s">
        <v>660</v>
      </c>
      <c r="C8" s="569">
        <f>I107</f>
        <v>12812.500000000004</v>
      </c>
      <c r="D8" s="553">
        <f t="shared" ref="D8" si="22">J107</f>
        <v>26031.199999999997</v>
      </c>
      <c r="E8" s="570">
        <f t="shared" si="4"/>
        <v>38843.699999999997</v>
      </c>
      <c r="F8" s="569">
        <f>K107</f>
        <v>3012.5000000000005</v>
      </c>
      <c r="G8" s="553">
        <f>L107</f>
        <v>5363.8</v>
      </c>
      <c r="H8" s="570">
        <f t="shared" si="5"/>
        <v>8376.3000000000011</v>
      </c>
      <c r="I8" s="569">
        <f>Q107</f>
        <v>43511</v>
      </c>
      <c r="J8" s="553">
        <f t="shared" ref="J8" si="23">R107</f>
        <v>464113</v>
      </c>
      <c r="K8" s="570">
        <f t="shared" si="7"/>
        <v>507624</v>
      </c>
      <c r="L8" s="569">
        <f>S107</f>
        <v>6889</v>
      </c>
      <c r="M8" s="553">
        <f>T107</f>
        <v>88137</v>
      </c>
      <c r="N8" s="570">
        <f t="shared" si="8"/>
        <v>95026</v>
      </c>
      <c r="O8" s="569">
        <f t="shared" si="9"/>
        <v>24.172777777777778</v>
      </c>
      <c r="P8" s="569">
        <f t="shared" si="10"/>
        <v>257.84055555555557</v>
      </c>
      <c r="Q8" s="569">
        <f t="shared" si="11"/>
        <v>282.01333333333332</v>
      </c>
      <c r="R8" s="569">
        <f t="shared" si="12"/>
        <v>3.8272222222222223</v>
      </c>
      <c r="S8" s="569">
        <f t="shared" si="13"/>
        <v>48.965000000000003</v>
      </c>
      <c r="T8" s="569">
        <f t="shared" si="14"/>
        <v>52.792222222222222</v>
      </c>
      <c r="U8" s="757" t="s">
        <v>660</v>
      </c>
      <c r="X8" s="560" t="s">
        <v>93</v>
      </c>
      <c r="Y8" s="597"/>
      <c r="Z8" s="762">
        <f>Z6+Z7</f>
        <v>1241.7222222222222</v>
      </c>
      <c r="AA8" s="604">
        <f t="shared" ref="AA8:AV8" si="24">AA6+AA7</f>
        <v>1364.026388888889</v>
      </c>
      <c r="AB8" s="602">
        <f t="shared" si="24"/>
        <v>1486.3305555555557</v>
      </c>
      <c r="AC8" s="604">
        <f t="shared" si="24"/>
        <v>1608.6347222222223</v>
      </c>
      <c r="AD8" s="604">
        <f t="shared" si="24"/>
        <v>1730.9388888888891</v>
      </c>
      <c r="AE8" s="604">
        <f t="shared" si="24"/>
        <v>1853.2430555555559</v>
      </c>
      <c r="AF8" s="604">
        <f t="shared" si="24"/>
        <v>1975.5472222222224</v>
      </c>
      <c r="AG8" s="604">
        <f t="shared" si="24"/>
        <v>2097.8513888888892</v>
      </c>
      <c r="AH8" s="604">
        <f t="shared" si="24"/>
        <v>2220.155555555556</v>
      </c>
      <c r="AI8" s="604">
        <f t="shared" si="24"/>
        <v>2342.4597222222228</v>
      </c>
      <c r="AJ8" s="604">
        <f t="shared" si="24"/>
        <v>2464.7638888888896</v>
      </c>
      <c r="AK8" s="604">
        <f t="shared" si="24"/>
        <v>2587.0680555555559</v>
      </c>
      <c r="AL8" s="604">
        <f t="shared" si="24"/>
        <v>2709.3722222222223</v>
      </c>
      <c r="AM8" s="604">
        <f t="shared" si="24"/>
        <v>2831.6763888888891</v>
      </c>
      <c r="AN8" s="604">
        <f t="shared" si="24"/>
        <v>2953.9805555555554</v>
      </c>
      <c r="AO8" s="604">
        <f t="shared" si="24"/>
        <v>3076.2847222222222</v>
      </c>
      <c r="AP8" s="604">
        <f t="shared" si="24"/>
        <v>3198.5888888888885</v>
      </c>
      <c r="AQ8" s="604">
        <f t="shared" si="24"/>
        <v>3320.8930555555548</v>
      </c>
      <c r="AR8" s="604">
        <f t="shared" si="24"/>
        <v>3443.1972222222212</v>
      </c>
      <c r="AS8" s="604">
        <f t="shared" si="24"/>
        <v>3565.501388888888</v>
      </c>
      <c r="AT8" s="762">
        <f t="shared" si="24"/>
        <v>3687.8055555555552</v>
      </c>
      <c r="AU8" s="604">
        <f t="shared" si="24"/>
        <v>3810.1097222222215</v>
      </c>
      <c r="AV8" s="602">
        <f t="shared" si="24"/>
        <v>3932.4138888888883</v>
      </c>
    </row>
    <row r="9" spans="2:48" ht="15" thickBot="1" x14ac:dyDescent="0.35">
      <c r="B9" s="758" t="s">
        <v>550</v>
      </c>
      <c r="C9" s="755">
        <f>C7+C8</f>
        <v>35439.5</v>
      </c>
      <c r="D9" s="745">
        <f t="shared" ref="D9" si="25">D7+D8</f>
        <v>42914.599999999991</v>
      </c>
      <c r="E9" s="756">
        <f t="shared" ref="E9" si="26">E7+E8</f>
        <v>78354.099999999991</v>
      </c>
      <c r="F9" s="755">
        <f t="shared" ref="F9" si="27">F7+F8</f>
        <v>6055.5</v>
      </c>
      <c r="G9" s="745">
        <f t="shared" ref="G9" si="28">G7+G8</f>
        <v>9975.4000000000015</v>
      </c>
      <c r="H9" s="756">
        <f t="shared" ref="H9" si="29">H7+H8</f>
        <v>16030.900000000001</v>
      </c>
      <c r="I9" s="755">
        <f t="shared" ref="I9" si="30">I7+I8</f>
        <v>449214</v>
      </c>
      <c r="J9" s="745">
        <f t="shared" ref="J9" si="31">J7+J8</f>
        <v>663615.5</v>
      </c>
      <c r="K9" s="756">
        <f t="shared" ref="K9" si="32">K7+K8</f>
        <v>1112829.5</v>
      </c>
      <c r="L9" s="755">
        <f t="shared" ref="L9" si="33">L7+L8</f>
        <v>50286</v>
      </c>
      <c r="M9" s="745">
        <f t="shared" ref="M9" si="34">M7+M8</f>
        <v>136584.5</v>
      </c>
      <c r="N9" s="756">
        <f t="shared" ref="N9" si="35">N7+N8</f>
        <v>186870.5</v>
      </c>
      <c r="O9" s="750">
        <f t="shared" si="9"/>
        <v>249.56333333333333</v>
      </c>
      <c r="P9" s="750">
        <f t="shared" si="10"/>
        <v>368.67527777777775</v>
      </c>
      <c r="Q9" s="128">
        <f t="shared" si="11"/>
        <v>618.23861111111114</v>
      </c>
      <c r="R9" s="783">
        <f t="shared" si="12"/>
        <v>27.936666666666667</v>
      </c>
      <c r="S9" s="750">
        <f t="shared" si="13"/>
        <v>75.880277777777778</v>
      </c>
      <c r="T9" s="128">
        <f t="shared" si="14"/>
        <v>103.81694444444445</v>
      </c>
      <c r="U9" s="759" t="s">
        <v>550</v>
      </c>
      <c r="X9" s="595" t="s">
        <v>503</v>
      </c>
      <c r="Y9" s="766"/>
      <c r="Z9" s="761"/>
      <c r="AA9" s="603"/>
      <c r="AB9" s="601"/>
      <c r="AC9" s="603"/>
      <c r="AD9" s="603"/>
      <c r="AE9" s="603"/>
      <c r="AF9" s="603"/>
      <c r="AG9" s="603"/>
      <c r="AH9" s="603"/>
      <c r="AI9" s="603"/>
      <c r="AJ9" s="603"/>
      <c r="AK9" s="603"/>
      <c r="AL9" s="603"/>
      <c r="AM9" s="603"/>
      <c r="AN9" s="603"/>
      <c r="AO9" s="603"/>
      <c r="AP9" s="603"/>
      <c r="AQ9" s="603"/>
      <c r="AR9" s="603"/>
      <c r="AS9" s="768"/>
      <c r="AT9" s="771"/>
      <c r="AU9" s="768"/>
      <c r="AV9" s="601"/>
    </row>
    <row r="10" spans="2:48" x14ac:dyDescent="0.3">
      <c r="B10" s="757" t="s">
        <v>661</v>
      </c>
      <c r="C10" s="569">
        <f>AD41</f>
        <v>32167.3</v>
      </c>
      <c r="D10" s="553">
        <f t="shared" ref="D10" si="36">AE41</f>
        <v>27059.4</v>
      </c>
      <c r="E10" s="570">
        <f t="shared" si="4"/>
        <v>59226.7</v>
      </c>
      <c r="F10" s="569">
        <f>AF41</f>
        <v>4522.7</v>
      </c>
      <c r="G10" s="553">
        <f>AG41</f>
        <v>7610.5999999999995</v>
      </c>
      <c r="H10" s="570">
        <f t="shared" si="5"/>
        <v>12133.3</v>
      </c>
      <c r="I10" s="569">
        <f>AL41</f>
        <v>1497803</v>
      </c>
      <c r="J10" s="553">
        <f t="shared" ref="J10" si="37">AM41</f>
        <v>1333497</v>
      </c>
      <c r="K10" s="570">
        <f t="shared" si="7"/>
        <v>2831300</v>
      </c>
      <c r="L10" s="569">
        <f>AN41</f>
        <v>183047</v>
      </c>
      <c r="M10" s="553">
        <f>AO41</f>
        <v>337453</v>
      </c>
      <c r="N10" s="570">
        <f t="shared" si="8"/>
        <v>520500</v>
      </c>
      <c r="O10" s="569">
        <f t="shared" si="9"/>
        <v>832.11277777777775</v>
      </c>
      <c r="P10" s="569">
        <f t="shared" si="10"/>
        <v>740.83166666666671</v>
      </c>
      <c r="Q10" s="569">
        <f t="shared" si="11"/>
        <v>1572.9444444444443</v>
      </c>
      <c r="R10" s="569">
        <f t="shared" si="12"/>
        <v>101.69277777777778</v>
      </c>
      <c r="S10" s="569">
        <f t="shared" si="13"/>
        <v>187.47388888888889</v>
      </c>
      <c r="T10" s="569">
        <f t="shared" si="14"/>
        <v>289.16666666666669</v>
      </c>
      <c r="U10" s="757" t="s">
        <v>661</v>
      </c>
      <c r="X10" s="560" t="s">
        <v>95</v>
      </c>
      <c r="Y10" s="597">
        <f>(AT10-Z10)/20</f>
        <v>68.079027777777782</v>
      </c>
      <c r="Z10" s="762">
        <f>Q9</f>
        <v>618.23861111111114</v>
      </c>
      <c r="AA10" s="604">
        <f>Z10+$Y10</f>
        <v>686.31763888888895</v>
      </c>
      <c r="AB10" s="769">
        <f t="shared" ref="AB10:AS10" si="38">AA10+$Y10</f>
        <v>754.39666666666676</v>
      </c>
      <c r="AC10" s="604">
        <f t="shared" si="38"/>
        <v>822.47569444444457</v>
      </c>
      <c r="AD10" s="604">
        <f t="shared" si="38"/>
        <v>890.55472222222238</v>
      </c>
      <c r="AE10" s="604">
        <f t="shared" si="38"/>
        <v>958.63375000000019</v>
      </c>
      <c r="AF10" s="604">
        <f t="shared" si="38"/>
        <v>1026.712777777778</v>
      </c>
      <c r="AG10" s="604">
        <f t="shared" si="38"/>
        <v>1094.7918055555558</v>
      </c>
      <c r="AH10" s="604">
        <f t="shared" si="38"/>
        <v>1162.8708333333336</v>
      </c>
      <c r="AI10" s="604">
        <f t="shared" si="38"/>
        <v>1230.9498611111114</v>
      </c>
      <c r="AJ10" s="604">
        <f t="shared" si="38"/>
        <v>1299.0288888888892</v>
      </c>
      <c r="AK10" s="604">
        <f t="shared" si="38"/>
        <v>1367.1079166666671</v>
      </c>
      <c r="AL10" s="604">
        <f t="shared" si="38"/>
        <v>1435.1869444444449</v>
      </c>
      <c r="AM10" s="604">
        <f t="shared" si="38"/>
        <v>1503.2659722222227</v>
      </c>
      <c r="AN10" s="604">
        <f t="shared" si="38"/>
        <v>1571.3450000000005</v>
      </c>
      <c r="AO10" s="604">
        <f t="shared" si="38"/>
        <v>1639.4240277777783</v>
      </c>
      <c r="AP10" s="604">
        <f t="shared" si="38"/>
        <v>1707.5030555555561</v>
      </c>
      <c r="AQ10" s="604">
        <f t="shared" si="38"/>
        <v>1775.5820833333339</v>
      </c>
      <c r="AR10" s="604">
        <f t="shared" si="38"/>
        <v>1843.6611111111117</v>
      </c>
      <c r="AS10" s="604">
        <f t="shared" si="38"/>
        <v>1911.7401388888895</v>
      </c>
      <c r="AT10" s="762">
        <f>Q15</f>
        <v>1979.8191666666667</v>
      </c>
      <c r="AU10" s="604">
        <f t="shared" ref="AU10:AV10" si="39">AT10+$Y10</f>
        <v>2047.8981944444445</v>
      </c>
      <c r="AV10" s="769">
        <f t="shared" si="39"/>
        <v>2115.9772222222223</v>
      </c>
    </row>
    <row r="11" spans="2:48" ht="15" thickBot="1" x14ac:dyDescent="0.35">
      <c r="B11" s="757" t="s">
        <v>662</v>
      </c>
      <c r="C11" s="569">
        <f>AD63</f>
        <v>19816</v>
      </c>
      <c r="D11" s="553">
        <f t="shared" ref="D11" si="40">AE63</f>
        <v>39350</v>
      </c>
      <c r="E11" s="570">
        <f t="shared" si="4"/>
        <v>59166</v>
      </c>
      <c r="F11" s="569">
        <f>AF63</f>
        <v>4584</v>
      </c>
      <c r="G11" s="553">
        <f>AG63</f>
        <v>7950</v>
      </c>
      <c r="H11" s="570">
        <f t="shared" si="5"/>
        <v>12534</v>
      </c>
      <c r="I11" s="569">
        <f>AL63</f>
        <v>379565</v>
      </c>
      <c r="J11" s="553">
        <f t="shared" ref="J11" si="41">AM63</f>
        <v>2392167.5</v>
      </c>
      <c r="K11" s="570">
        <f t="shared" si="7"/>
        <v>2771732.5</v>
      </c>
      <c r="L11" s="569">
        <f>AN63</f>
        <v>80185</v>
      </c>
      <c r="M11" s="553">
        <f>AO63</f>
        <v>434332.5</v>
      </c>
      <c r="N11" s="570">
        <f t="shared" si="8"/>
        <v>514517.5</v>
      </c>
      <c r="O11" s="569">
        <f t="shared" si="9"/>
        <v>210.86944444444444</v>
      </c>
      <c r="P11" s="569">
        <f t="shared" si="10"/>
        <v>1328.9819444444445</v>
      </c>
      <c r="Q11" s="569">
        <f t="shared" si="11"/>
        <v>1539.8513888888888</v>
      </c>
      <c r="R11" s="569">
        <f t="shared" si="12"/>
        <v>44.547222222222224</v>
      </c>
      <c r="S11" s="569">
        <f t="shared" si="13"/>
        <v>241.29583333333332</v>
      </c>
      <c r="T11" s="569">
        <f t="shared" si="14"/>
        <v>285.84305555555557</v>
      </c>
      <c r="U11" s="757" t="s">
        <v>662</v>
      </c>
      <c r="X11" s="560" t="s">
        <v>4</v>
      </c>
      <c r="Y11" s="597">
        <f>(AT11-Z11)/20</f>
        <v>14.055694444444445</v>
      </c>
      <c r="Z11" s="762">
        <f>T9</f>
        <v>103.81694444444445</v>
      </c>
      <c r="AA11" s="604">
        <f>Z11+$Y11</f>
        <v>117.87263888888889</v>
      </c>
      <c r="AB11" s="600">
        <f t="shared" ref="AB11:AS11" si="42">AA11+$Y11</f>
        <v>131.92833333333334</v>
      </c>
      <c r="AC11" s="604">
        <f t="shared" si="42"/>
        <v>145.98402777777778</v>
      </c>
      <c r="AD11" s="604">
        <f t="shared" si="42"/>
        <v>160.03972222222222</v>
      </c>
      <c r="AE11" s="604">
        <f t="shared" si="42"/>
        <v>174.09541666666667</v>
      </c>
      <c r="AF11" s="604">
        <f t="shared" si="42"/>
        <v>188.15111111111111</v>
      </c>
      <c r="AG11" s="604">
        <f t="shared" si="42"/>
        <v>202.20680555555555</v>
      </c>
      <c r="AH11" s="604">
        <f t="shared" si="42"/>
        <v>216.26249999999999</v>
      </c>
      <c r="AI11" s="604">
        <f t="shared" si="42"/>
        <v>230.31819444444443</v>
      </c>
      <c r="AJ11" s="604">
        <f t="shared" si="42"/>
        <v>244.37388888888887</v>
      </c>
      <c r="AK11" s="604">
        <f t="shared" si="42"/>
        <v>258.42958333333331</v>
      </c>
      <c r="AL11" s="604">
        <f t="shared" si="42"/>
        <v>272.48527777777775</v>
      </c>
      <c r="AM11" s="604">
        <f t="shared" si="42"/>
        <v>286.54097222222219</v>
      </c>
      <c r="AN11" s="604">
        <f t="shared" si="42"/>
        <v>300.59666666666664</v>
      </c>
      <c r="AO11" s="604">
        <f t="shared" si="42"/>
        <v>314.65236111111108</v>
      </c>
      <c r="AP11" s="604">
        <f t="shared" si="42"/>
        <v>328.70805555555552</v>
      </c>
      <c r="AQ11" s="604">
        <f t="shared" si="42"/>
        <v>342.76374999999996</v>
      </c>
      <c r="AR11" s="604">
        <f t="shared" si="42"/>
        <v>356.8194444444444</v>
      </c>
      <c r="AS11" s="604">
        <f t="shared" si="42"/>
        <v>370.87513888888884</v>
      </c>
      <c r="AT11" s="762">
        <f>T15</f>
        <v>384.93083333333334</v>
      </c>
      <c r="AU11" s="604">
        <f t="shared" ref="AU11:AV11" si="43">AT11+$Y11</f>
        <v>398.98652777777778</v>
      </c>
      <c r="AV11" s="600">
        <f t="shared" si="43"/>
        <v>413.04222222222222</v>
      </c>
    </row>
    <row r="12" spans="2:48" ht="15" thickBot="1" x14ac:dyDescent="0.35">
      <c r="B12" s="758" t="s">
        <v>666</v>
      </c>
      <c r="C12" s="755">
        <f>C10+C11</f>
        <v>51983.3</v>
      </c>
      <c r="D12" s="745">
        <f t="shared" ref="D12" si="44">D10+D11</f>
        <v>66409.399999999994</v>
      </c>
      <c r="E12" s="756">
        <f>E10+E11</f>
        <v>118392.7</v>
      </c>
      <c r="F12" s="755">
        <f t="shared" ref="F12" si="45">F10+F11</f>
        <v>9106.7000000000007</v>
      </c>
      <c r="G12" s="745">
        <f t="shared" ref="G12" si="46">G10+G11</f>
        <v>15560.599999999999</v>
      </c>
      <c r="H12" s="756">
        <f t="shared" ref="H12" si="47">H10+H11</f>
        <v>24667.3</v>
      </c>
      <c r="I12" s="755">
        <f t="shared" ref="I12" si="48">I10+I11</f>
        <v>1877368</v>
      </c>
      <c r="J12" s="745">
        <f t="shared" ref="J12" si="49">J10+J11</f>
        <v>3725664.5</v>
      </c>
      <c r="K12" s="756">
        <f t="shared" ref="K12" si="50">K10+K11</f>
        <v>5603032.5</v>
      </c>
      <c r="L12" s="755">
        <f t="shared" ref="L12" si="51">L10+L11</f>
        <v>263232</v>
      </c>
      <c r="M12" s="745">
        <f t="shared" ref="M12" si="52">M10+M11</f>
        <v>771785.5</v>
      </c>
      <c r="N12" s="756">
        <f t="shared" ref="N12" si="53">N10+N11</f>
        <v>1035017.5</v>
      </c>
      <c r="O12" s="750">
        <f t="shared" si="9"/>
        <v>1042.9822222222222</v>
      </c>
      <c r="P12" s="750">
        <f t="shared" si="10"/>
        <v>2069.8136111111112</v>
      </c>
      <c r="Q12" s="128">
        <f t="shared" si="11"/>
        <v>3112.7958333333331</v>
      </c>
      <c r="R12" s="783">
        <f t="shared" si="12"/>
        <v>146.24</v>
      </c>
      <c r="S12" s="750">
        <f t="shared" si="13"/>
        <v>428.76972222222224</v>
      </c>
      <c r="T12" s="128">
        <f t="shared" si="14"/>
        <v>575.00972222222219</v>
      </c>
      <c r="U12" s="759" t="s">
        <v>666</v>
      </c>
      <c r="X12" s="560" t="s">
        <v>93</v>
      </c>
      <c r="Y12" s="597"/>
      <c r="Z12" s="763">
        <f t="shared" ref="Z12:AV12" si="54">Z10+Z11</f>
        <v>722.05555555555554</v>
      </c>
      <c r="AA12" s="604">
        <f t="shared" si="54"/>
        <v>804.19027777777785</v>
      </c>
      <c r="AB12" s="602">
        <f t="shared" si="54"/>
        <v>886.32500000000005</v>
      </c>
      <c r="AC12" s="604">
        <f t="shared" si="54"/>
        <v>968.45972222222235</v>
      </c>
      <c r="AD12" s="604">
        <f t="shared" si="54"/>
        <v>1050.5944444444447</v>
      </c>
      <c r="AE12" s="604">
        <f t="shared" si="54"/>
        <v>1132.729166666667</v>
      </c>
      <c r="AF12" s="604">
        <f t="shared" si="54"/>
        <v>1214.8638888888891</v>
      </c>
      <c r="AG12" s="604">
        <f t="shared" si="54"/>
        <v>1296.9986111111114</v>
      </c>
      <c r="AH12" s="604">
        <f t="shared" si="54"/>
        <v>1379.1333333333337</v>
      </c>
      <c r="AI12" s="604">
        <f t="shared" si="54"/>
        <v>1461.2680555555557</v>
      </c>
      <c r="AJ12" s="604">
        <f t="shared" si="54"/>
        <v>1543.4027777777781</v>
      </c>
      <c r="AK12" s="604">
        <f t="shared" si="54"/>
        <v>1625.5375000000004</v>
      </c>
      <c r="AL12" s="604">
        <f t="shared" si="54"/>
        <v>1707.6722222222227</v>
      </c>
      <c r="AM12" s="604">
        <f t="shared" si="54"/>
        <v>1789.806944444445</v>
      </c>
      <c r="AN12" s="604">
        <f t="shared" si="54"/>
        <v>1871.9416666666671</v>
      </c>
      <c r="AO12" s="604">
        <f t="shared" si="54"/>
        <v>1954.0763888888894</v>
      </c>
      <c r="AP12" s="604">
        <f t="shared" si="54"/>
        <v>2036.2111111111117</v>
      </c>
      <c r="AQ12" s="604">
        <f t="shared" si="54"/>
        <v>2118.3458333333338</v>
      </c>
      <c r="AR12" s="604">
        <f t="shared" si="54"/>
        <v>2200.4805555555563</v>
      </c>
      <c r="AS12" s="604">
        <f t="shared" si="54"/>
        <v>2282.6152777777784</v>
      </c>
      <c r="AT12" s="763">
        <f t="shared" si="54"/>
        <v>2364.75</v>
      </c>
      <c r="AU12" s="604">
        <f t="shared" si="54"/>
        <v>2446.8847222222221</v>
      </c>
      <c r="AV12" s="602">
        <f t="shared" si="54"/>
        <v>2529.0194444444446</v>
      </c>
    </row>
    <row r="13" spans="2:48" x14ac:dyDescent="0.3">
      <c r="B13" s="757" t="s">
        <v>663</v>
      </c>
      <c r="C13" s="569">
        <f>AD84</f>
        <v>32167.3</v>
      </c>
      <c r="D13" s="553">
        <f t="shared" ref="D13" si="55">AE84</f>
        <v>27059.4</v>
      </c>
      <c r="E13" s="570">
        <f t="shared" si="4"/>
        <v>59226.7</v>
      </c>
      <c r="F13" s="569">
        <f>AF84</f>
        <v>4522.7</v>
      </c>
      <c r="G13" s="553">
        <f>AG84</f>
        <v>7610.5999999999995</v>
      </c>
      <c r="H13" s="570">
        <f t="shared" si="5"/>
        <v>12133.3</v>
      </c>
      <c r="I13" s="569">
        <f>AL84</f>
        <v>929563</v>
      </c>
      <c r="J13" s="553">
        <f t="shared" ref="J13" si="56">AM84</f>
        <v>798494</v>
      </c>
      <c r="K13" s="570">
        <f t="shared" si="7"/>
        <v>1728057</v>
      </c>
      <c r="L13" s="569">
        <f>AN84</f>
        <v>109537</v>
      </c>
      <c r="M13" s="553">
        <f>AO84</f>
        <v>194706</v>
      </c>
      <c r="N13" s="570">
        <f t="shared" si="8"/>
        <v>304243</v>
      </c>
      <c r="O13" s="569">
        <f t="shared" si="9"/>
        <v>516.42388888888888</v>
      </c>
      <c r="P13" s="569">
        <f t="shared" si="10"/>
        <v>443.60777777777776</v>
      </c>
      <c r="Q13" s="569">
        <f t="shared" si="11"/>
        <v>960.03166666666664</v>
      </c>
      <c r="R13" s="569">
        <f t="shared" si="12"/>
        <v>60.853888888888889</v>
      </c>
      <c r="S13" s="569">
        <f t="shared" si="13"/>
        <v>108.17</v>
      </c>
      <c r="T13" s="569">
        <f t="shared" si="14"/>
        <v>169.02388888888888</v>
      </c>
      <c r="U13" s="757" t="s">
        <v>663</v>
      </c>
    </row>
    <row r="14" spans="2:48" ht="15" thickBot="1" x14ac:dyDescent="0.35">
      <c r="B14" s="757" t="s">
        <v>664</v>
      </c>
      <c r="C14" s="569">
        <f>AD107</f>
        <v>35053</v>
      </c>
      <c r="D14" s="553">
        <f t="shared" ref="D14" si="57">AE107</f>
        <v>38193</v>
      </c>
      <c r="E14" s="570">
        <f t="shared" si="4"/>
        <v>73246</v>
      </c>
      <c r="F14" s="569">
        <f>AF107</f>
        <v>9597</v>
      </c>
      <c r="G14" s="553">
        <f>AG107</f>
        <v>7957</v>
      </c>
      <c r="H14" s="570">
        <f t="shared" si="5"/>
        <v>17554</v>
      </c>
      <c r="I14" s="569">
        <f>AL107</f>
        <v>371030</v>
      </c>
      <c r="J14" s="553">
        <f t="shared" ref="J14" si="58">AM107</f>
        <v>1464587.5</v>
      </c>
      <c r="K14" s="570">
        <f t="shared" si="7"/>
        <v>1835617.5</v>
      </c>
      <c r="L14" s="569">
        <f>AN107</f>
        <v>100470</v>
      </c>
      <c r="M14" s="553">
        <f>AO107</f>
        <v>288162.5</v>
      </c>
      <c r="N14" s="570">
        <f t="shared" si="8"/>
        <v>388632.5</v>
      </c>
      <c r="O14" s="569">
        <f t="shared" si="9"/>
        <v>206.12777777777777</v>
      </c>
      <c r="P14" s="569">
        <f t="shared" si="10"/>
        <v>813.65972222222217</v>
      </c>
      <c r="Q14" s="569">
        <f t="shared" si="11"/>
        <v>1019.7875</v>
      </c>
      <c r="R14" s="569">
        <f t="shared" si="12"/>
        <v>55.81666666666667</v>
      </c>
      <c r="S14" s="569">
        <f t="shared" si="13"/>
        <v>160.09027777777777</v>
      </c>
      <c r="T14" s="569">
        <f t="shared" si="14"/>
        <v>215.90694444444443</v>
      </c>
      <c r="U14" s="757" t="s">
        <v>664</v>
      </c>
      <c r="AB14">
        <f>(AB12-AB8)/AB8</f>
        <v>-0.4036824468910199</v>
      </c>
      <c r="AV14">
        <f>(AV12-AV8)/AV8</f>
        <v>-0.35687862063801623</v>
      </c>
    </row>
    <row r="15" spans="2:48" ht="15" thickBot="1" x14ac:dyDescent="0.35">
      <c r="B15" s="106" t="s">
        <v>551</v>
      </c>
      <c r="C15" s="590">
        <f>C13+C14</f>
        <v>67220.3</v>
      </c>
      <c r="D15" s="592">
        <f t="shared" ref="D15" si="59">D13+D14</f>
        <v>65252.4</v>
      </c>
      <c r="E15" s="591">
        <f t="shared" ref="E15" si="60">E13+E14</f>
        <v>132472.70000000001</v>
      </c>
      <c r="F15" s="590">
        <f t="shared" ref="F15" si="61">F13+F14</f>
        <v>14119.7</v>
      </c>
      <c r="G15" s="592">
        <f t="shared" ref="G15" si="62">G13+G14</f>
        <v>15567.599999999999</v>
      </c>
      <c r="H15" s="591">
        <f t="shared" ref="H15" si="63">H13+H14</f>
        <v>29687.3</v>
      </c>
      <c r="I15" s="590">
        <f t="shared" ref="I15" si="64">I13+I14</f>
        <v>1300593</v>
      </c>
      <c r="J15" s="592">
        <f t="shared" ref="J15" si="65">J13+J14</f>
        <v>2263081.5</v>
      </c>
      <c r="K15" s="591">
        <f t="shared" ref="K15" si="66">K13+K14</f>
        <v>3563674.5</v>
      </c>
      <c r="L15" s="590">
        <f t="shared" ref="L15" si="67">L13+L14</f>
        <v>210007</v>
      </c>
      <c r="M15" s="592">
        <f t="shared" ref="M15" si="68">M13+M14</f>
        <v>482868.5</v>
      </c>
      <c r="N15" s="591">
        <f t="shared" ref="N15" si="69">N13+N14</f>
        <v>692875.5</v>
      </c>
      <c r="O15" s="750">
        <f t="shared" si="9"/>
        <v>722.55166666666662</v>
      </c>
      <c r="P15" s="750">
        <f t="shared" si="10"/>
        <v>1257.2674999999999</v>
      </c>
      <c r="Q15" s="128">
        <f t="shared" si="11"/>
        <v>1979.8191666666667</v>
      </c>
      <c r="R15" s="783">
        <f t="shared" si="12"/>
        <v>116.67055555555555</v>
      </c>
      <c r="S15" s="750">
        <f t="shared" si="13"/>
        <v>268.26027777777779</v>
      </c>
      <c r="T15" s="128">
        <f t="shared" si="14"/>
        <v>384.93083333333334</v>
      </c>
      <c r="U15" s="760" t="s">
        <v>551</v>
      </c>
    </row>
    <row r="22" spans="2:41" ht="18" x14ac:dyDescent="0.35">
      <c r="B22" s="446" t="s">
        <v>541</v>
      </c>
      <c r="W22" s="446" t="s">
        <v>542</v>
      </c>
      <c r="Y22" s="1"/>
    </row>
    <row r="23" spans="2:41" ht="15.6" x14ac:dyDescent="0.3">
      <c r="B23" s="556" t="s">
        <v>504</v>
      </c>
      <c r="W23" s="556" t="s">
        <v>505</v>
      </c>
      <c r="Y23" s="1"/>
    </row>
    <row r="24" spans="2:41" ht="28.8" customHeight="1" x14ac:dyDescent="0.3">
      <c r="B24" s="557"/>
      <c r="C24" s="558"/>
      <c r="D24" s="101"/>
      <c r="E24" s="789" t="s">
        <v>506</v>
      </c>
      <c r="F24" s="786"/>
      <c r="G24" s="787" t="s">
        <v>507</v>
      </c>
      <c r="H24" s="788"/>
      <c r="I24" s="789" t="s">
        <v>653</v>
      </c>
      <c r="J24" s="786"/>
      <c r="K24" s="789" t="s">
        <v>654</v>
      </c>
      <c r="L24" s="786"/>
      <c r="M24" s="785" t="s">
        <v>508</v>
      </c>
      <c r="N24" s="786"/>
      <c r="O24" s="789" t="s">
        <v>549</v>
      </c>
      <c r="P24" s="785"/>
      <c r="Q24" s="789" t="s">
        <v>655</v>
      </c>
      <c r="R24" s="786"/>
      <c r="S24" s="789" t="s">
        <v>656</v>
      </c>
      <c r="T24" s="786"/>
      <c r="W24" s="557"/>
      <c r="X24" s="558"/>
      <c r="Y24" s="101"/>
      <c r="Z24" s="787" t="s">
        <v>506</v>
      </c>
      <c r="AA24" s="788"/>
      <c r="AB24" s="787" t="s">
        <v>507</v>
      </c>
      <c r="AC24" s="788"/>
      <c r="AD24" s="789" t="s">
        <v>653</v>
      </c>
      <c r="AE24" s="786"/>
      <c r="AF24" s="789" t="s">
        <v>654</v>
      </c>
      <c r="AG24" s="786"/>
      <c r="AH24" s="785" t="s">
        <v>508</v>
      </c>
      <c r="AI24" s="786"/>
      <c r="AJ24" s="789" t="s">
        <v>549</v>
      </c>
      <c r="AK24" s="786"/>
      <c r="AL24" s="789" t="s">
        <v>655</v>
      </c>
      <c r="AM24" s="786"/>
      <c r="AN24" s="789" t="s">
        <v>656</v>
      </c>
      <c r="AO24" s="786"/>
    </row>
    <row r="25" spans="2:41" ht="28.8" x14ac:dyDescent="0.3">
      <c r="B25" s="559" t="s">
        <v>5</v>
      </c>
      <c r="C25" s="560" t="s">
        <v>509</v>
      </c>
      <c r="D25" s="561" t="s">
        <v>510</v>
      </c>
      <c r="E25" s="278" t="s">
        <v>0</v>
      </c>
      <c r="F25" s="562" t="s">
        <v>1</v>
      </c>
      <c r="G25" s="278" t="s">
        <v>0</v>
      </c>
      <c r="H25" s="562" t="s">
        <v>1</v>
      </c>
      <c r="I25" s="588" t="s">
        <v>0</v>
      </c>
      <c r="J25" s="589" t="s">
        <v>1</v>
      </c>
      <c r="K25" s="278" t="s">
        <v>0</v>
      </c>
      <c r="L25" s="562" t="s">
        <v>1</v>
      </c>
      <c r="M25" s="563" t="s">
        <v>0</v>
      </c>
      <c r="N25" s="562" t="s">
        <v>1</v>
      </c>
      <c r="O25" s="588" t="s">
        <v>0</v>
      </c>
      <c r="P25" s="740" t="s">
        <v>1</v>
      </c>
      <c r="Q25" s="278" t="s">
        <v>0</v>
      </c>
      <c r="R25" s="562" t="s">
        <v>1</v>
      </c>
      <c r="S25" s="588" t="s">
        <v>0</v>
      </c>
      <c r="T25" s="589" t="s">
        <v>1</v>
      </c>
      <c r="U25" s="563"/>
      <c r="W25" s="559" t="s">
        <v>5</v>
      </c>
      <c r="X25" s="560" t="s">
        <v>509</v>
      </c>
      <c r="Y25" s="561" t="s">
        <v>510</v>
      </c>
      <c r="Z25" s="278" t="s">
        <v>0</v>
      </c>
      <c r="AA25" s="562" t="s">
        <v>1</v>
      </c>
      <c r="AB25" s="278" t="s">
        <v>0</v>
      </c>
      <c r="AC25" s="562" t="s">
        <v>1</v>
      </c>
      <c r="AD25" s="588" t="s">
        <v>0</v>
      </c>
      <c r="AE25" s="589" t="s">
        <v>1</v>
      </c>
      <c r="AF25" s="278" t="s">
        <v>0</v>
      </c>
      <c r="AG25" s="562" t="s">
        <v>1</v>
      </c>
      <c r="AH25" s="563" t="s">
        <v>0</v>
      </c>
      <c r="AI25" s="562" t="s">
        <v>1</v>
      </c>
      <c r="AJ25" s="588" t="s">
        <v>0</v>
      </c>
      <c r="AK25" s="589" t="s">
        <v>1</v>
      </c>
      <c r="AL25" s="278" t="s">
        <v>0</v>
      </c>
      <c r="AM25" s="562" t="s">
        <v>1</v>
      </c>
      <c r="AN25" s="588" t="s">
        <v>0</v>
      </c>
      <c r="AO25" s="589" t="s">
        <v>1</v>
      </c>
    </row>
    <row r="26" spans="2:41" x14ac:dyDescent="0.3">
      <c r="B26" s="157" t="s">
        <v>511</v>
      </c>
      <c r="C26" s="564" t="s">
        <v>512</v>
      </c>
      <c r="D26" s="738">
        <v>2</v>
      </c>
      <c r="E26" s="565">
        <v>1300</v>
      </c>
      <c r="F26" s="456">
        <v>1400</v>
      </c>
      <c r="G26" s="566">
        <v>0.26</v>
      </c>
      <c r="H26" s="741">
        <v>0.39</v>
      </c>
      <c r="I26" s="565">
        <f>E26*(1-G26)</f>
        <v>962</v>
      </c>
      <c r="J26" s="554">
        <f>F26*(1-H26)</f>
        <v>854</v>
      </c>
      <c r="K26" s="565">
        <f>E26*G26</f>
        <v>338</v>
      </c>
      <c r="L26" s="456">
        <f>F26*H26</f>
        <v>546</v>
      </c>
      <c r="M26" s="564" t="s">
        <v>513</v>
      </c>
      <c r="N26" s="62" t="s">
        <v>400</v>
      </c>
      <c r="O26" s="586">
        <v>0</v>
      </c>
      <c r="P26" s="568">
        <v>10</v>
      </c>
      <c r="Q26" s="565">
        <f>I26*O26</f>
        <v>0</v>
      </c>
      <c r="R26" s="456">
        <f>J26*P26</f>
        <v>8540</v>
      </c>
      <c r="S26" s="565">
        <f>K26*O26</f>
        <v>0</v>
      </c>
      <c r="T26" s="456">
        <f>L26*P26</f>
        <v>5460</v>
      </c>
      <c r="U26" s="568"/>
      <c r="W26" s="157" t="s">
        <v>511</v>
      </c>
      <c r="X26" s="564" t="s">
        <v>512</v>
      </c>
      <c r="Y26" s="738">
        <v>2</v>
      </c>
      <c r="Z26" s="565">
        <v>2070</v>
      </c>
      <c r="AA26" s="456">
        <v>2470</v>
      </c>
      <c r="AB26" s="566">
        <v>0.26</v>
      </c>
      <c r="AC26" s="567">
        <v>0.39</v>
      </c>
      <c r="AD26" s="565">
        <f>Z26*(1-AB26)</f>
        <v>1531.8</v>
      </c>
      <c r="AE26" s="554">
        <f>AA26*(1-AC26)</f>
        <v>1506.7</v>
      </c>
      <c r="AF26" s="565">
        <f>Z26*AB26</f>
        <v>538.20000000000005</v>
      </c>
      <c r="AG26" s="456">
        <f>AA26*AC26</f>
        <v>963.30000000000007</v>
      </c>
      <c r="AH26" s="564" t="s">
        <v>400</v>
      </c>
      <c r="AI26" s="62" t="s">
        <v>401</v>
      </c>
      <c r="AJ26" s="586">
        <v>10</v>
      </c>
      <c r="AK26" s="573">
        <v>20</v>
      </c>
      <c r="AL26" s="565">
        <f>AD26*AJ26</f>
        <v>15318</v>
      </c>
      <c r="AM26" s="456">
        <f>AE26*AK26</f>
        <v>30134</v>
      </c>
      <c r="AN26" s="565">
        <f>AF26*AJ26</f>
        <v>5382</v>
      </c>
      <c r="AO26" s="456">
        <f>AG26*AK26</f>
        <v>19266</v>
      </c>
    </row>
    <row r="27" spans="2:41" x14ac:dyDescent="0.3">
      <c r="B27" s="158" t="s">
        <v>514</v>
      </c>
      <c r="C27" s="568" t="s">
        <v>515</v>
      </c>
      <c r="D27" s="161">
        <v>1</v>
      </c>
      <c r="E27" s="569">
        <v>40</v>
      </c>
      <c r="F27" s="570">
        <v>100</v>
      </c>
      <c r="G27" s="571">
        <v>0</v>
      </c>
      <c r="H27" s="552">
        <v>0.22</v>
      </c>
      <c r="I27" s="569">
        <f t="shared" ref="I27:I40" si="70">E27*(1-G27)</f>
        <v>40</v>
      </c>
      <c r="J27" s="553">
        <f t="shared" ref="J27:J40" si="71">F27*(1-H27)</f>
        <v>78</v>
      </c>
      <c r="K27" s="569">
        <f t="shared" ref="K27:K40" si="72">E27*G27</f>
        <v>0</v>
      </c>
      <c r="L27" s="570">
        <f t="shared" ref="L27:L40" si="73">F27*H27</f>
        <v>22</v>
      </c>
      <c r="M27" s="568" t="s">
        <v>400</v>
      </c>
      <c r="N27" s="573" t="s">
        <v>400</v>
      </c>
      <c r="O27" s="586">
        <v>10</v>
      </c>
      <c r="P27" s="568">
        <v>10</v>
      </c>
      <c r="Q27" s="569">
        <f t="shared" ref="Q27:Q40" si="74">I27*O27</f>
        <v>400</v>
      </c>
      <c r="R27" s="570">
        <f t="shared" ref="R27:R40" si="75">J27*P27</f>
        <v>780</v>
      </c>
      <c r="S27" s="569">
        <f t="shared" ref="S27:S40" si="76">K27*O27</f>
        <v>0</v>
      </c>
      <c r="T27" s="570">
        <f t="shared" ref="T27:T40" si="77">L27*P27</f>
        <v>220</v>
      </c>
      <c r="U27" s="568"/>
      <c r="W27" s="158" t="s">
        <v>514</v>
      </c>
      <c r="X27" s="568" t="s">
        <v>515</v>
      </c>
      <c r="Y27" s="161">
        <v>1</v>
      </c>
      <c r="Z27" s="569">
        <v>70</v>
      </c>
      <c r="AA27" s="570">
        <v>200</v>
      </c>
      <c r="AB27" s="571">
        <v>0</v>
      </c>
      <c r="AC27" s="572">
        <v>0.22</v>
      </c>
      <c r="AD27" s="569">
        <f t="shared" ref="AD27:AD40" si="78">Z27*(1-AB27)</f>
        <v>70</v>
      </c>
      <c r="AE27" s="553">
        <f t="shared" ref="AE27:AE40" si="79">AA27*(1-AC27)</f>
        <v>156</v>
      </c>
      <c r="AF27" s="569">
        <f t="shared" ref="AF27:AF40" si="80">Z27*AB27</f>
        <v>0</v>
      </c>
      <c r="AG27" s="570">
        <f t="shared" ref="AG27:AG40" si="81">AA27*AC27</f>
        <v>44</v>
      </c>
      <c r="AH27" s="568" t="s">
        <v>401</v>
      </c>
      <c r="AI27" s="573" t="s">
        <v>402</v>
      </c>
      <c r="AJ27" s="586">
        <v>20</v>
      </c>
      <c r="AK27" s="573">
        <v>35</v>
      </c>
      <c r="AL27" s="569">
        <f t="shared" ref="AL27:AL40" si="82">AD27*AJ27</f>
        <v>1400</v>
      </c>
      <c r="AM27" s="570">
        <f t="shared" ref="AM27:AM40" si="83">AE27*AK27</f>
        <v>5460</v>
      </c>
      <c r="AN27" s="569">
        <f t="shared" ref="AN27:AN40" si="84">AF27*AJ27</f>
        <v>0</v>
      </c>
      <c r="AO27" s="570">
        <f t="shared" ref="AO27:AO40" si="85">AG27*AK27</f>
        <v>1540</v>
      </c>
    </row>
    <row r="28" spans="2:41" x14ac:dyDescent="0.3">
      <c r="B28" s="158" t="s">
        <v>516</v>
      </c>
      <c r="C28" s="568" t="s">
        <v>512</v>
      </c>
      <c r="D28" s="161">
        <v>2</v>
      </c>
      <c r="E28" s="569">
        <v>1260</v>
      </c>
      <c r="F28" s="570">
        <v>1300</v>
      </c>
      <c r="G28" s="571">
        <v>0.26</v>
      </c>
      <c r="H28" s="552">
        <v>0.39</v>
      </c>
      <c r="I28" s="569">
        <f t="shared" si="70"/>
        <v>932.4</v>
      </c>
      <c r="J28" s="553">
        <f t="shared" si="71"/>
        <v>793</v>
      </c>
      <c r="K28" s="569">
        <f t="shared" si="72"/>
        <v>327.60000000000002</v>
      </c>
      <c r="L28" s="570">
        <f t="shared" si="73"/>
        <v>507</v>
      </c>
      <c r="M28" s="568" t="s">
        <v>399</v>
      </c>
      <c r="N28" s="573" t="s">
        <v>400</v>
      </c>
      <c r="O28" s="586">
        <v>0</v>
      </c>
      <c r="P28" s="568">
        <v>10</v>
      </c>
      <c r="Q28" s="569">
        <f t="shared" si="74"/>
        <v>0</v>
      </c>
      <c r="R28" s="570">
        <f t="shared" si="75"/>
        <v>7930</v>
      </c>
      <c r="S28" s="569">
        <f t="shared" si="76"/>
        <v>0</v>
      </c>
      <c r="T28" s="570">
        <f t="shared" si="77"/>
        <v>5070</v>
      </c>
      <c r="U28" s="568"/>
      <c r="W28" s="158" t="s">
        <v>516</v>
      </c>
      <c r="X28" s="568" t="s">
        <v>512</v>
      </c>
      <c r="Y28" s="161">
        <v>2</v>
      </c>
      <c r="Z28" s="569">
        <v>2000</v>
      </c>
      <c r="AA28" s="570">
        <v>2270</v>
      </c>
      <c r="AB28" s="571">
        <v>0.26</v>
      </c>
      <c r="AC28" s="572">
        <v>0.39</v>
      </c>
      <c r="AD28" s="569">
        <f t="shared" si="78"/>
        <v>1480</v>
      </c>
      <c r="AE28" s="553">
        <f t="shared" si="79"/>
        <v>1384.7</v>
      </c>
      <c r="AF28" s="569">
        <f t="shared" si="80"/>
        <v>520</v>
      </c>
      <c r="AG28" s="570">
        <f t="shared" si="81"/>
        <v>885.30000000000007</v>
      </c>
      <c r="AH28" s="568" t="s">
        <v>400</v>
      </c>
      <c r="AI28" s="573" t="s">
        <v>401</v>
      </c>
      <c r="AJ28" s="586">
        <v>10</v>
      </c>
      <c r="AK28" s="573">
        <v>20</v>
      </c>
      <c r="AL28" s="569">
        <f t="shared" si="82"/>
        <v>14800</v>
      </c>
      <c r="AM28" s="570">
        <f t="shared" si="83"/>
        <v>27694</v>
      </c>
      <c r="AN28" s="569">
        <f t="shared" si="84"/>
        <v>5200</v>
      </c>
      <c r="AO28" s="570">
        <f t="shared" si="85"/>
        <v>17706</v>
      </c>
    </row>
    <row r="29" spans="2:41" x14ac:dyDescent="0.3">
      <c r="B29" s="158" t="s">
        <v>517</v>
      </c>
      <c r="C29" s="568" t="s">
        <v>518</v>
      </c>
      <c r="D29" s="161">
        <v>1</v>
      </c>
      <c r="E29" s="569">
        <v>910</v>
      </c>
      <c r="F29" s="570">
        <v>710</v>
      </c>
      <c r="G29" s="571">
        <v>0.03</v>
      </c>
      <c r="H29" s="552">
        <v>0.05</v>
      </c>
      <c r="I29" s="569">
        <f t="shared" si="70"/>
        <v>882.69999999999993</v>
      </c>
      <c r="J29" s="553">
        <f t="shared" si="71"/>
        <v>674.5</v>
      </c>
      <c r="K29" s="569">
        <f t="shared" si="72"/>
        <v>27.3</v>
      </c>
      <c r="L29" s="570">
        <f t="shared" si="73"/>
        <v>35.5</v>
      </c>
      <c r="M29" s="568" t="s">
        <v>401</v>
      </c>
      <c r="N29" s="573" t="s">
        <v>400</v>
      </c>
      <c r="O29" s="586">
        <v>20</v>
      </c>
      <c r="P29" s="568">
        <v>10</v>
      </c>
      <c r="Q29" s="569">
        <f t="shared" si="74"/>
        <v>17654</v>
      </c>
      <c r="R29" s="570">
        <f t="shared" si="75"/>
        <v>6745</v>
      </c>
      <c r="S29" s="569">
        <f t="shared" si="76"/>
        <v>546</v>
      </c>
      <c r="T29" s="570">
        <f t="shared" si="77"/>
        <v>355</v>
      </c>
      <c r="U29" s="568"/>
      <c r="W29" s="158" t="s">
        <v>517</v>
      </c>
      <c r="X29" s="568" t="s">
        <v>518</v>
      </c>
      <c r="Y29" s="161">
        <v>1</v>
      </c>
      <c r="Z29" s="569">
        <v>1500</v>
      </c>
      <c r="AA29" s="570">
        <v>1250</v>
      </c>
      <c r="AB29" s="571">
        <v>0.03</v>
      </c>
      <c r="AC29" s="572">
        <v>0.05</v>
      </c>
      <c r="AD29" s="569">
        <f t="shared" si="78"/>
        <v>1455</v>
      </c>
      <c r="AE29" s="553">
        <f t="shared" si="79"/>
        <v>1187.5</v>
      </c>
      <c r="AF29" s="569">
        <f t="shared" si="80"/>
        <v>45</v>
      </c>
      <c r="AG29" s="570">
        <f t="shared" si="81"/>
        <v>62.5</v>
      </c>
      <c r="AH29" s="568" t="s">
        <v>402</v>
      </c>
      <c r="AI29" s="573" t="s">
        <v>402</v>
      </c>
      <c r="AJ29" s="586">
        <v>35</v>
      </c>
      <c r="AK29" s="573">
        <v>35</v>
      </c>
      <c r="AL29" s="569">
        <f t="shared" si="82"/>
        <v>50925</v>
      </c>
      <c r="AM29" s="570">
        <f t="shared" si="83"/>
        <v>41562.5</v>
      </c>
      <c r="AN29" s="569">
        <f t="shared" si="84"/>
        <v>1575</v>
      </c>
      <c r="AO29" s="570">
        <f t="shared" si="85"/>
        <v>2187.5</v>
      </c>
    </row>
    <row r="30" spans="2:41" x14ac:dyDescent="0.3">
      <c r="B30" s="158" t="s">
        <v>519</v>
      </c>
      <c r="C30" s="568" t="s">
        <v>512</v>
      </c>
      <c r="D30" s="161">
        <v>2</v>
      </c>
      <c r="E30" s="569">
        <v>2170</v>
      </c>
      <c r="F30" s="570">
        <v>2010</v>
      </c>
      <c r="G30" s="571">
        <v>0.17</v>
      </c>
      <c r="H30" s="552">
        <v>0.28000000000000003</v>
      </c>
      <c r="I30" s="569">
        <f t="shared" si="70"/>
        <v>1801.1</v>
      </c>
      <c r="J30" s="553">
        <f t="shared" si="71"/>
        <v>1447.2</v>
      </c>
      <c r="K30" s="569">
        <f t="shared" si="72"/>
        <v>368.90000000000003</v>
      </c>
      <c r="L30" s="570">
        <f t="shared" si="73"/>
        <v>562.80000000000007</v>
      </c>
      <c r="M30" s="568" t="s">
        <v>400</v>
      </c>
      <c r="N30" s="573" t="s">
        <v>400</v>
      </c>
      <c r="O30" s="586">
        <v>10</v>
      </c>
      <c r="P30" s="568">
        <v>10</v>
      </c>
      <c r="Q30" s="569">
        <f t="shared" si="74"/>
        <v>18011</v>
      </c>
      <c r="R30" s="570">
        <f t="shared" si="75"/>
        <v>14472</v>
      </c>
      <c r="S30" s="569">
        <f t="shared" si="76"/>
        <v>3689.0000000000005</v>
      </c>
      <c r="T30" s="570">
        <f t="shared" si="77"/>
        <v>5628.0000000000009</v>
      </c>
      <c r="U30" s="568"/>
      <c r="W30" s="158" t="s">
        <v>519</v>
      </c>
      <c r="X30" s="568" t="s">
        <v>512</v>
      </c>
      <c r="Y30" s="161">
        <v>2</v>
      </c>
      <c r="Z30" s="569">
        <v>3500</v>
      </c>
      <c r="AA30" s="570">
        <v>3520</v>
      </c>
      <c r="AB30" s="571">
        <v>0.17</v>
      </c>
      <c r="AC30" s="572">
        <v>0.28000000000000003</v>
      </c>
      <c r="AD30" s="569">
        <f t="shared" si="78"/>
        <v>2905</v>
      </c>
      <c r="AE30" s="553">
        <f t="shared" si="79"/>
        <v>2534.4</v>
      </c>
      <c r="AF30" s="569">
        <f t="shared" si="80"/>
        <v>595</v>
      </c>
      <c r="AG30" s="570">
        <f t="shared" si="81"/>
        <v>985.60000000000014</v>
      </c>
      <c r="AH30" s="568" t="s">
        <v>402</v>
      </c>
      <c r="AI30" s="573" t="s">
        <v>403</v>
      </c>
      <c r="AJ30" s="586">
        <v>35</v>
      </c>
      <c r="AK30" s="573">
        <v>55</v>
      </c>
      <c r="AL30" s="569">
        <f t="shared" si="82"/>
        <v>101675</v>
      </c>
      <c r="AM30" s="570">
        <f t="shared" si="83"/>
        <v>139392</v>
      </c>
      <c r="AN30" s="569">
        <f t="shared" si="84"/>
        <v>20825</v>
      </c>
      <c r="AO30" s="570">
        <f t="shared" si="85"/>
        <v>54208.000000000007</v>
      </c>
    </row>
    <row r="31" spans="2:41" x14ac:dyDescent="0.3">
      <c r="B31" s="158" t="s">
        <v>520</v>
      </c>
      <c r="C31" s="568" t="s">
        <v>515</v>
      </c>
      <c r="D31" s="161">
        <v>1</v>
      </c>
      <c r="E31" s="569">
        <v>200</v>
      </c>
      <c r="F31" s="570">
        <v>400</v>
      </c>
      <c r="G31" s="571">
        <v>0</v>
      </c>
      <c r="H31" s="552">
        <v>0.02</v>
      </c>
      <c r="I31" s="569">
        <f t="shared" si="70"/>
        <v>200</v>
      </c>
      <c r="J31" s="553">
        <f t="shared" si="71"/>
        <v>392</v>
      </c>
      <c r="K31" s="569">
        <f t="shared" si="72"/>
        <v>0</v>
      </c>
      <c r="L31" s="570">
        <f t="shared" si="73"/>
        <v>8</v>
      </c>
      <c r="M31" s="568" t="s">
        <v>401</v>
      </c>
      <c r="N31" s="573" t="s">
        <v>401</v>
      </c>
      <c r="O31" s="586">
        <v>20</v>
      </c>
      <c r="P31" s="568">
        <v>20</v>
      </c>
      <c r="Q31" s="569">
        <f t="shared" si="74"/>
        <v>4000</v>
      </c>
      <c r="R31" s="570">
        <f t="shared" si="75"/>
        <v>7840</v>
      </c>
      <c r="S31" s="569">
        <f t="shared" si="76"/>
        <v>0</v>
      </c>
      <c r="T31" s="570">
        <f t="shared" si="77"/>
        <v>160</v>
      </c>
      <c r="U31" s="568"/>
      <c r="W31" s="158" t="s">
        <v>520</v>
      </c>
      <c r="X31" s="568" t="s">
        <v>515</v>
      </c>
      <c r="Y31" s="161">
        <v>1</v>
      </c>
      <c r="Z31" s="569">
        <v>350</v>
      </c>
      <c r="AA31" s="570">
        <v>750</v>
      </c>
      <c r="AB31" s="571">
        <v>0</v>
      </c>
      <c r="AC31" s="572">
        <v>0.02</v>
      </c>
      <c r="AD31" s="569">
        <f t="shared" si="78"/>
        <v>350</v>
      </c>
      <c r="AE31" s="553">
        <f t="shared" si="79"/>
        <v>735</v>
      </c>
      <c r="AF31" s="569">
        <f t="shared" si="80"/>
        <v>0</v>
      </c>
      <c r="AG31" s="570">
        <f t="shared" si="81"/>
        <v>15</v>
      </c>
      <c r="AH31" s="568" t="s">
        <v>403</v>
      </c>
      <c r="AI31" s="573" t="s">
        <v>403</v>
      </c>
      <c r="AJ31" s="586">
        <v>55</v>
      </c>
      <c r="AK31" s="573">
        <v>55</v>
      </c>
      <c r="AL31" s="569">
        <f t="shared" si="82"/>
        <v>19250</v>
      </c>
      <c r="AM31" s="570">
        <f t="shared" si="83"/>
        <v>40425</v>
      </c>
      <c r="AN31" s="569">
        <f t="shared" si="84"/>
        <v>0</v>
      </c>
      <c r="AO31" s="570">
        <f t="shared" si="85"/>
        <v>825</v>
      </c>
    </row>
    <row r="32" spans="2:41" x14ac:dyDescent="0.3">
      <c r="B32" s="158" t="s">
        <v>521</v>
      </c>
      <c r="C32" s="568" t="s">
        <v>512</v>
      </c>
      <c r="D32" s="161">
        <v>2</v>
      </c>
      <c r="E32" s="569">
        <v>1970</v>
      </c>
      <c r="F32" s="570">
        <v>1610</v>
      </c>
      <c r="G32" s="571">
        <v>0.18</v>
      </c>
      <c r="H32" s="552">
        <v>0.28000000000000003</v>
      </c>
      <c r="I32" s="569">
        <f t="shared" si="70"/>
        <v>1615.4</v>
      </c>
      <c r="J32" s="553">
        <f t="shared" si="71"/>
        <v>1159.2</v>
      </c>
      <c r="K32" s="569">
        <f t="shared" si="72"/>
        <v>354.59999999999997</v>
      </c>
      <c r="L32" s="570">
        <f t="shared" si="73"/>
        <v>450.80000000000007</v>
      </c>
      <c r="M32" s="568" t="s">
        <v>400</v>
      </c>
      <c r="N32" s="573" t="s">
        <v>400</v>
      </c>
      <c r="O32" s="586">
        <v>10</v>
      </c>
      <c r="P32" s="568">
        <v>10</v>
      </c>
      <c r="Q32" s="569">
        <f t="shared" si="74"/>
        <v>16154</v>
      </c>
      <c r="R32" s="570">
        <f t="shared" si="75"/>
        <v>11592</v>
      </c>
      <c r="S32" s="569">
        <f t="shared" si="76"/>
        <v>3545.9999999999995</v>
      </c>
      <c r="T32" s="570">
        <f t="shared" si="77"/>
        <v>4508.0000000000009</v>
      </c>
      <c r="U32" s="568"/>
      <c r="W32" s="158" t="s">
        <v>521</v>
      </c>
      <c r="X32" s="568" t="s">
        <v>512</v>
      </c>
      <c r="Y32" s="161">
        <v>2</v>
      </c>
      <c r="Z32" s="569">
        <v>3150</v>
      </c>
      <c r="AA32" s="570">
        <v>2770</v>
      </c>
      <c r="AB32" s="571">
        <v>0.18</v>
      </c>
      <c r="AC32" s="572">
        <v>0.28999999999999998</v>
      </c>
      <c r="AD32" s="569">
        <f t="shared" si="78"/>
        <v>2583</v>
      </c>
      <c r="AE32" s="553">
        <f t="shared" si="79"/>
        <v>1966.6999999999998</v>
      </c>
      <c r="AF32" s="569">
        <f t="shared" si="80"/>
        <v>567</v>
      </c>
      <c r="AG32" s="570">
        <f t="shared" si="81"/>
        <v>803.3</v>
      </c>
      <c r="AH32" s="568" t="s">
        <v>402</v>
      </c>
      <c r="AI32" s="573" t="s">
        <v>402</v>
      </c>
      <c r="AJ32" s="586">
        <v>35</v>
      </c>
      <c r="AK32" s="573">
        <v>35</v>
      </c>
      <c r="AL32" s="569">
        <f t="shared" si="82"/>
        <v>90405</v>
      </c>
      <c r="AM32" s="570">
        <f t="shared" si="83"/>
        <v>68834.5</v>
      </c>
      <c r="AN32" s="569">
        <f t="shared" si="84"/>
        <v>19845</v>
      </c>
      <c r="AO32" s="570">
        <f t="shared" si="85"/>
        <v>28115.5</v>
      </c>
    </row>
    <row r="33" spans="2:41" x14ac:dyDescent="0.3">
      <c r="B33" s="158" t="s">
        <v>522</v>
      </c>
      <c r="C33" s="568" t="s">
        <v>518</v>
      </c>
      <c r="D33" s="161">
        <v>1</v>
      </c>
      <c r="E33" s="569">
        <v>1600</v>
      </c>
      <c r="F33" s="570">
        <v>1200</v>
      </c>
      <c r="G33" s="571">
        <v>0.01</v>
      </c>
      <c r="H33" s="552">
        <v>0.03</v>
      </c>
      <c r="I33" s="569">
        <f t="shared" si="70"/>
        <v>1584</v>
      </c>
      <c r="J33" s="553">
        <f t="shared" si="71"/>
        <v>1164</v>
      </c>
      <c r="K33" s="569">
        <f t="shared" si="72"/>
        <v>16</v>
      </c>
      <c r="L33" s="570">
        <f t="shared" si="73"/>
        <v>36</v>
      </c>
      <c r="M33" s="568" t="s">
        <v>402</v>
      </c>
      <c r="N33" s="573" t="s">
        <v>401</v>
      </c>
      <c r="O33" s="586">
        <v>35</v>
      </c>
      <c r="P33" s="568">
        <v>20</v>
      </c>
      <c r="Q33" s="569">
        <f t="shared" si="74"/>
        <v>55440</v>
      </c>
      <c r="R33" s="570">
        <f t="shared" si="75"/>
        <v>23280</v>
      </c>
      <c r="S33" s="569">
        <f t="shared" si="76"/>
        <v>560</v>
      </c>
      <c r="T33" s="570">
        <f t="shared" si="77"/>
        <v>720</v>
      </c>
      <c r="U33" s="568"/>
      <c r="W33" s="158" t="s">
        <v>522</v>
      </c>
      <c r="X33" s="568" t="s">
        <v>518</v>
      </c>
      <c r="Y33" s="161">
        <v>1</v>
      </c>
      <c r="Z33" s="569">
        <v>1900</v>
      </c>
      <c r="AA33" s="570">
        <v>1700</v>
      </c>
      <c r="AB33" s="571">
        <v>0.01</v>
      </c>
      <c r="AC33" s="572">
        <v>0.03</v>
      </c>
      <c r="AD33" s="569">
        <f t="shared" si="78"/>
        <v>1881</v>
      </c>
      <c r="AE33" s="553">
        <f t="shared" si="79"/>
        <v>1649</v>
      </c>
      <c r="AF33" s="569">
        <f t="shared" si="80"/>
        <v>19</v>
      </c>
      <c r="AG33" s="570">
        <f t="shared" si="81"/>
        <v>51</v>
      </c>
      <c r="AH33" s="568" t="s">
        <v>407</v>
      </c>
      <c r="AI33" s="573" t="s">
        <v>407</v>
      </c>
      <c r="AJ33" s="586">
        <v>80</v>
      </c>
      <c r="AK33" s="573">
        <v>80</v>
      </c>
      <c r="AL33" s="569">
        <f t="shared" si="82"/>
        <v>150480</v>
      </c>
      <c r="AM33" s="570">
        <f t="shared" si="83"/>
        <v>131920</v>
      </c>
      <c r="AN33" s="569">
        <f t="shared" si="84"/>
        <v>1520</v>
      </c>
      <c r="AO33" s="570">
        <f t="shared" si="85"/>
        <v>4080</v>
      </c>
    </row>
    <row r="34" spans="2:41" x14ac:dyDescent="0.3">
      <c r="B34" s="158" t="s">
        <v>523</v>
      </c>
      <c r="C34" s="568" t="s">
        <v>512</v>
      </c>
      <c r="D34" s="161">
        <v>2</v>
      </c>
      <c r="E34" s="569">
        <v>3570</v>
      </c>
      <c r="F34" s="570">
        <v>2810</v>
      </c>
      <c r="G34" s="571">
        <v>0.12</v>
      </c>
      <c r="H34" s="552">
        <v>0.22</v>
      </c>
      <c r="I34" s="569">
        <f t="shared" si="70"/>
        <v>3141.6</v>
      </c>
      <c r="J34" s="553">
        <f t="shared" si="71"/>
        <v>2191.8000000000002</v>
      </c>
      <c r="K34" s="569">
        <f t="shared" si="72"/>
        <v>428.4</v>
      </c>
      <c r="L34" s="570">
        <f t="shared" si="73"/>
        <v>618.20000000000005</v>
      </c>
      <c r="M34" s="568" t="s">
        <v>402</v>
      </c>
      <c r="N34" s="573" t="s">
        <v>401</v>
      </c>
      <c r="O34" s="586">
        <v>35</v>
      </c>
      <c r="P34" s="568">
        <v>20</v>
      </c>
      <c r="Q34" s="569">
        <f t="shared" si="74"/>
        <v>109956</v>
      </c>
      <c r="R34" s="570">
        <f t="shared" si="75"/>
        <v>43836</v>
      </c>
      <c r="S34" s="569">
        <f t="shared" si="76"/>
        <v>14994</v>
      </c>
      <c r="T34" s="570">
        <f t="shared" si="77"/>
        <v>12364</v>
      </c>
      <c r="U34" s="568"/>
      <c r="W34" s="158" t="s">
        <v>523</v>
      </c>
      <c r="X34" s="568" t="s">
        <v>512</v>
      </c>
      <c r="Y34" s="161">
        <v>2</v>
      </c>
      <c r="Z34" s="569">
        <v>5050</v>
      </c>
      <c r="AA34" s="570">
        <v>4470</v>
      </c>
      <c r="AB34" s="571">
        <v>0.12</v>
      </c>
      <c r="AC34" s="572">
        <v>0.22</v>
      </c>
      <c r="AD34" s="569">
        <f t="shared" si="78"/>
        <v>4444</v>
      </c>
      <c r="AE34" s="553">
        <f t="shared" si="79"/>
        <v>3486.6</v>
      </c>
      <c r="AF34" s="569">
        <f t="shared" si="80"/>
        <v>606</v>
      </c>
      <c r="AG34" s="570">
        <f t="shared" si="81"/>
        <v>983.4</v>
      </c>
      <c r="AH34" s="568" t="s">
        <v>407</v>
      </c>
      <c r="AI34" s="573" t="s">
        <v>407</v>
      </c>
      <c r="AJ34" s="586">
        <v>80</v>
      </c>
      <c r="AK34" s="573">
        <v>80</v>
      </c>
      <c r="AL34" s="569">
        <f t="shared" si="82"/>
        <v>355520</v>
      </c>
      <c r="AM34" s="570">
        <f t="shared" si="83"/>
        <v>278928</v>
      </c>
      <c r="AN34" s="569">
        <f t="shared" si="84"/>
        <v>48480</v>
      </c>
      <c r="AO34" s="570">
        <f t="shared" si="85"/>
        <v>78672</v>
      </c>
    </row>
    <row r="35" spans="2:41" x14ac:dyDescent="0.3">
      <c r="B35" s="158" t="s">
        <v>524</v>
      </c>
      <c r="C35" s="568" t="s">
        <v>515</v>
      </c>
      <c r="D35" s="161">
        <v>1</v>
      </c>
      <c r="E35" s="569">
        <v>350</v>
      </c>
      <c r="F35" s="570">
        <v>250</v>
      </c>
      <c r="G35" s="571">
        <v>0.38</v>
      </c>
      <c r="H35" s="552">
        <v>0.36</v>
      </c>
      <c r="I35" s="569">
        <f t="shared" si="70"/>
        <v>217</v>
      </c>
      <c r="J35" s="553">
        <f t="shared" si="71"/>
        <v>160</v>
      </c>
      <c r="K35" s="569">
        <f t="shared" si="72"/>
        <v>133</v>
      </c>
      <c r="L35" s="570">
        <f t="shared" si="73"/>
        <v>90</v>
      </c>
      <c r="M35" s="568" t="s">
        <v>402</v>
      </c>
      <c r="N35" s="573" t="s">
        <v>402</v>
      </c>
      <c r="O35" s="586">
        <v>35</v>
      </c>
      <c r="P35" s="568">
        <v>35</v>
      </c>
      <c r="Q35" s="569">
        <f t="shared" si="74"/>
        <v>7595</v>
      </c>
      <c r="R35" s="570">
        <f t="shared" si="75"/>
        <v>5600</v>
      </c>
      <c r="S35" s="569">
        <f t="shared" si="76"/>
        <v>4655</v>
      </c>
      <c r="T35" s="570">
        <f t="shared" si="77"/>
        <v>3150</v>
      </c>
      <c r="U35" s="568"/>
      <c r="W35" s="158" t="s">
        <v>524</v>
      </c>
      <c r="X35" s="568" t="s">
        <v>515</v>
      </c>
      <c r="Y35" s="161">
        <v>1</v>
      </c>
      <c r="Z35" s="569">
        <v>600</v>
      </c>
      <c r="AA35" s="570">
        <v>450</v>
      </c>
      <c r="AB35" s="571">
        <v>0.38</v>
      </c>
      <c r="AC35" s="572">
        <v>0.36</v>
      </c>
      <c r="AD35" s="569">
        <f t="shared" si="78"/>
        <v>372</v>
      </c>
      <c r="AE35" s="553">
        <f t="shared" si="79"/>
        <v>288</v>
      </c>
      <c r="AF35" s="569">
        <f t="shared" si="80"/>
        <v>228</v>
      </c>
      <c r="AG35" s="570">
        <f t="shared" si="81"/>
        <v>162</v>
      </c>
      <c r="AH35" s="568" t="s">
        <v>407</v>
      </c>
      <c r="AI35" s="573" t="s">
        <v>407</v>
      </c>
      <c r="AJ35" s="586">
        <v>80</v>
      </c>
      <c r="AK35" s="573">
        <v>80</v>
      </c>
      <c r="AL35" s="569">
        <f t="shared" si="82"/>
        <v>29760</v>
      </c>
      <c r="AM35" s="570">
        <f t="shared" si="83"/>
        <v>23040</v>
      </c>
      <c r="AN35" s="569">
        <f t="shared" si="84"/>
        <v>18240</v>
      </c>
      <c r="AO35" s="570">
        <f t="shared" si="85"/>
        <v>12960</v>
      </c>
    </row>
    <row r="36" spans="2:41" x14ac:dyDescent="0.3">
      <c r="B36" s="158" t="s">
        <v>525</v>
      </c>
      <c r="C36" s="568" t="s">
        <v>512</v>
      </c>
      <c r="D36" s="161">
        <v>2</v>
      </c>
      <c r="E36" s="569">
        <v>3220</v>
      </c>
      <c r="F36" s="570">
        <v>2560</v>
      </c>
      <c r="G36" s="571">
        <v>0.09</v>
      </c>
      <c r="H36" s="552">
        <v>0.21</v>
      </c>
      <c r="I36" s="569">
        <f t="shared" si="70"/>
        <v>2930.2000000000003</v>
      </c>
      <c r="J36" s="553">
        <f t="shared" si="71"/>
        <v>2022.4</v>
      </c>
      <c r="K36" s="569">
        <f t="shared" si="72"/>
        <v>289.8</v>
      </c>
      <c r="L36" s="570">
        <f t="shared" si="73"/>
        <v>537.6</v>
      </c>
      <c r="M36" s="568" t="s">
        <v>402</v>
      </c>
      <c r="N36" s="573" t="s">
        <v>401</v>
      </c>
      <c r="O36" s="586">
        <v>35</v>
      </c>
      <c r="P36" s="568">
        <v>20</v>
      </c>
      <c r="Q36" s="569">
        <f t="shared" si="74"/>
        <v>102557.00000000001</v>
      </c>
      <c r="R36" s="570">
        <f t="shared" si="75"/>
        <v>40448</v>
      </c>
      <c r="S36" s="569">
        <f t="shared" si="76"/>
        <v>10143</v>
      </c>
      <c r="T36" s="570">
        <f t="shared" si="77"/>
        <v>10752</v>
      </c>
      <c r="U36" s="568"/>
      <c r="W36" s="158" t="s">
        <v>525</v>
      </c>
      <c r="X36" s="568" t="s">
        <v>512</v>
      </c>
      <c r="Y36" s="161">
        <v>2</v>
      </c>
      <c r="Z36" s="569">
        <v>4450</v>
      </c>
      <c r="AA36" s="570">
        <v>4020</v>
      </c>
      <c r="AB36" s="571">
        <v>0.09</v>
      </c>
      <c r="AC36" s="572">
        <v>0.21</v>
      </c>
      <c r="AD36" s="569">
        <f t="shared" si="78"/>
        <v>4049.5</v>
      </c>
      <c r="AE36" s="553">
        <f t="shared" si="79"/>
        <v>3175.8</v>
      </c>
      <c r="AF36" s="569">
        <f t="shared" si="80"/>
        <v>400.5</v>
      </c>
      <c r="AG36" s="570">
        <f t="shared" si="81"/>
        <v>844.19999999999993</v>
      </c>
      <c r="AH36" s="568" t="s">
        <v>407</v>
      </c>
      <c r="AI36" s="573" t="s">
        <v>407</v>
      </c>
      <c r="AJ36" s="586">
        <v>80</v>
      </c>
      <c r="AK36" s="573">
        <v>80</v>
      </c>
      <c r="AL36" s="569">
        <f t="shared" si="82"/>
        <v>323960</v>
      </c>
      <c r="AM36" s="570">
        <f t="shared" si="83"/>
        <v>254064</v>
      </c>
      <c r="AN36" s="569">
        <f t="shared" si="84"/>
        <v>32040</v>
      </c>
      <c r="AO36" s="570">
        <f t="shared" si="85"/>
        <v>67536</v>
      </c>
    </row>
    <row r="37" spans="2:41" x14ac:dyDescent="0.3">
      <c r="B37" s="158" t="s">
        <v>526</v>
      </c>
      <c r="C37" s="568" t="s">
        <v>518</v>
      </c>
      <c r="D37" s="161">
        <v>1</v>
      </c>
      <c r="E37" s="569">
        <v>880</v>
      </c>
      <c r="F37" s="570">
        <v>675</v>
      </c>
      <c r="G37" s="571">
        <v>0.08</v>
      </c>
      <c r="H37" s="552">
        <v>0.03</v>
      </c>
      <c r="I37" s="569">
        <f t="shared" si="70"/>
        <v>809.6</v>
      </c>
      <c r="J37" s="553">
        <f t="shared" si="71"/>
        <v>654.75</v>
      </c>
      <c r="K37" s="569">
        <f t="shared" si="72"/>
        <v>70.400000000000006</v>
      </c>
      <c r="L37" s="570">
        <f t="shared" si="73"/>
        <v>20.25</v>
      </c>
      <c r="M37" s="568" t="s">
        <v>401</v>
      </c>
      <c r="N37" s="573" t="s">
        <v>401</v>
      </c>
      <c r="O37" s="586">
        <v>20</v>
      </c>
      <c r="P37" s="568">
        <v>20</v>
      </c>
      <c r="Q37" s="569">
        <f t="shared" si="74"/>
        <v>16192</v>
      </c>
      <c r="R37" s="570">
        <f t="shared" si="75"/>
        <v>13095</v>
      </c>
      <c r="S37" s="569">
        <f t="shared" si="76"/>
        <v>1408</v>
      </c>
      <c r="T37" s="570">
        <f t="shared" si="77"/>
        <v>405</v>
      </c>
      <c r="U37" s="568"/>
      <c r="W37" s="158" t="s">
        <v>526</v>
      </c>
      <c r="X37" s="568" t="s">
        <v>518</v>
      </c>
      <c r="Y37" s="161">
        <v>1</v>
      </c>
      <c r="Z37" s="569">
        <v>1050</v>
      </c>
      <c r="AA37" s="570">
        <v>920</v>
      </c>
      <c r="AB37" s="571">
        <v>0.08</v>
      </c>
      <c r="AC37" s="572">
        <v>0.03</v>
      </c>
      <c r="AD37" s="569">
        <f t="shared" si="78"/>
        <v>966</v>
      </c>
      <c r="AE37" s="553">
        <f t="shared" si="79"/>
        <v>892.4</v>
      </c>
      <c r="AF37" s="569">
        <f t="shared" si="80"/>
        <v>84</v>
      </c>
      <c r="AG37" s="570">
        <f t="shared" si="81"/>
        <v>27.599999999999998</v>
      </c>
      <c r="AH37" s="568" t="s">
        <v>402</v>
      </c>
      <c r="AI37" s="573" t="s">
        <v>402</v>
      </c>
      <c r="AJ37" s="586">
        <v>35</v>
      </c>
      <c r="AK37" s="573">
        <v>35</v>
      </c>
      <c r="AL37" s="569">
        <f t="shared" si="82"/>
        <v>33810</v>
      </c>
      <c r="AM37" s="570">
        <f t="shared" si="83"/>
        <v>31234</v>
      </c>
      <c r="AN37" s="569">
        <f t="shared" si="84"/>
        <v>2940</v>
      </c>
      <c r="AO37" s="570">
        <f t="shared" si="85"/>
        <v>965.99999999999989</v>
      </c>
    </row>
    <row r="38" spans="2:41" x14ac:dyDescent="0.3">
      <c r="B38" s="158" t="s">
        <v>527</v>
      </c>
      <c r="C38" s="568" t="s">
        <v>512</v>
      </c>
      <c r="D38" s="161">
        <v>3</v>
      </c>
      <c r="E38" s="569">
        <v>4100</v>
      </c>
      <c r="F38" s="570">
        <v>3235</v>
      </c>
      <c r="G38" s="571">
        <v>0.1</v>
      </c>
      <c r="H38" s="552">
        <v>0.18</v>
      </c>
      <c r="I38" s="569">
        <f t="shared" si="70"/>
        <v>3690</v>
      </c>
      <c r="J38" s="553">
        <f t="shared" si="71"/>
        <v>2652.7000000000003</v>
      </c>
      <c r="K38" s="569">
        <f t="shared" si="72"/>
        <v>410</v>
      </c>
      <c r="L38" s="570">
        <f t="shared" si="73"/>
        <v>582.29999999999995</v>
      </c>
      <c r="M38" s="568" t="s">
        <v>401</v>
      </c>
      <c r="N38" s="573" t="s">
        <v>401</v>
      </c>
      <c r="O38" s="586">
        <v>20</v>
      </c>
      <c r="P38" s="568">
        <v>20</v>
      </c>
      <c r="Q38" s="569">
        <f t="shared" si="74"/>
        <v>73800</v>
      </c>
      <c r="R38" s="570">
        <f t="shared" si="75"/>
        <v>53054.000000000007</v>
      </c>
      <c r="S38" s="569">
        <f t="shared" si="76"/>
        <v>8200</v>
      </c>
      <c r="T38" s="570">
        <f t="shared" si="77"/>
        <v>11646</v>
      </c>
      <c r="U38" s="568"/>
      <c r="W38" s="158" t="s">
        <v>527</v>
      </c>
      <c r="X38" s="568" t="s">
        <v>512</v>
      </c>
      <c r="Y38" s="161">
        <v>3</v>
      </c>
      <c r="Z38" s="569">
        <v>5500</v>
      </c>
      <c r="AA38" s="570">
        <v>4940</v>
      </c>
      <c r="AB38" s="571">
        <v>0.1</v>
      </c>
      <c r="AC38" s="572">
        <v>0.18</v>
      </c>
      <c r="AD38" s="569">
        <f t="shared" si="78"/>
        <v>4950</v>
      </c>
      <c r="AE38" s="553">
        <f t="shared" si="79"/>
        <v>4050.8</v>
      </c>
      <c r="AF38" s="569">
        <f t="shared" si="80"/>
        <v>550</v>
      </c>
      <c r="AG38" s="570">
        <f t="shared" si="81"/>
        <v>889.19999999999993</v>
      </c>
      <c r="AH38" s="568" t="s">
        <v>402</v>
      </c>
      <c r="AI38" s="573" t="s">
        <v>402</v>
      </c>
      <c r="AJ38" s="586">
        <v>35</v>
      </c>
      <c r="AK38" s="573">
        <v>35</v>
      </c>
      <c r="AL38" s="569">
        <f t="shared" si="82"/>
        <v>173250</v>
      </c>
      <c r="AM38" s="570">
        <f t="shared" si="83"/>
        <v>141778</v>
      </c>
      <c r="AN38" s="569">
        <f t="shared" si="84"/>
        <v>19250</v>
      </c>
      <c r="AO38" s="570">
        <f t="shared" si="85"/>
        <v>31121.999999999996</v>
      </c>
    </row>
    <row r="39" spans="2:41" x14ac:dyDescent="0.3">
      <c r="B39" s="158" t="s">
        <v>528</v>
      </c>
      <c r="C39" s="568" t="s">
        <v>515</v>
      </c>
      <c r="D39" s="161">
        <v>1</v>
      </c>
      <c r="E39" s="569">
        <v>700</v>
      </c>
      <c r="F39" s="570">
        <v>750</v>
      </c>
      <c r="G39" s="571">
        <v>0.01</v>
      </c>
      <c r="H39" s="552">
        <v>0.01</v>
      </c>
      <c r="I39" s="569">
        <f t="shared" si="70"/>
        <v>693</v>
      </c>
      <c r="J39" s="553">
        <f t="shared" si="71"/>
        <v>742.5</v>
      </c>
      <c r="K39" s="569">
        <f t="shared" si="72"/>
        <v>7</v>
      </c>
      <c r="L39" s="570">
        <f t="shared" si="73"/>
        <v>7.5</v>
      </c>
      <c r="M39" s="568" t="s">
        <v>402</v>
      </c>
      <c r="N39" s="573" t="s">
        <v>401</v>
      </c>
      <c r="O39" s="586">
        <v>35</v>
      </c>
      <c r="P39" s="568">
        <v>20</v>
      </c>
      <c r="Q39" s="569">
        <f t="shared" si="74"/>
        <v>24255</v>
      </c>
      <c r="R39" s="570">
        <f t="shared" si="75"/>
        <v>14850</v>
      </c>
      <c r="S39" s="569">
        <f t="shared" si="76"/>
        <v>245</v>
      </c>
      <c r="T39" s="570">
        <f t="shared" si="77"/>
        <v>150</v>
      </c>
      <c r="U39" s="568"/>
      <c r="W39" s="158" t="s">
        <v>528</v>
      </c>
      <c r="X39" s="568" t="s">
        <v>515</v>
      </c>
      <c r="Y39" s="161">
        <v>1</v>
      </c>
      <c r="Z39" s="569">
        <v>1000</v>
      </c>
      <c r="AA39" s="570">
        <v>1100</v>
      </c>
      <c r="AB39" s="571">
        <v>0.01</v>
      </c>
      <c r="AC39" s="572">
        <v>0.01</v>
      </c>
      <c r="AD39" s="569">
        <f t="shared" si="78"/>
        <v>990</v>
      </c>
      <c r="AE39" s="553">
        <f t="shared" si="79"/>
        <v>1089</v>
      </c>
      <c r="AF39" s="569">
        <f t="shared" si="80"/>
        <v>10</v>
      </c>
      <c r="AG39" s="570">
        <f t="shared" si="81"/>
        <v>11</v>
      </c>
      <c r="AH39" s="568" t="s">
        <v>403</v>
      </c>
      <c r="AI39" s="573" t="s">
        <v>403</v>
      </c>
      <c r="AJ39" s="586">
        <v>55</v>
      </c>
      <c r="AK39" s="573">
        <v>55</v>
      </c>
      <c r="AL39" s="569">
        <f t="shared" si="82"/>
        <v>54450</v>
      </c>
      <c r="AM39" s="570">
        <f t="shared" si="83"/>
        <v>59895</v>
      </c>
      <c r="AN39" s="569">
        <f t="shared" si="84"/>
        <v>550</v>
      </c>
      <c r="AO39" s="570">
        <f t="shared" si="85"/>
        <v>605</v>
      </c>
    </row>
    <row r="40" spans="2:41" x14ac:dyDescent="0.3">
      <c r="B40" s="159" t="s">
        <v>529</v>
      </c>
      <c r="C40" s="574" t="s">
        <v>512</v>
      </c>
      <c r="D40" s="526">
        <v>3</v>
      </c>
      <c r="E40" s="575">
        <v>3400</v>
      </c>
      <c r="F40" s="452">
        <v>2485</v>
      </c>
      <c r="G40" s="576">
        <v>0.08</v>
      </c>
      <c r="H40" s="742">
        <v>0.23</v>
      </c>
      <c r="I40" s="575">
        <f t="shared" si="70"/>
        <v>3128</v>
      </c>
      <c r="J40" s="555">
        <f t="shared" si="71"/>
        <v>1913.45</v>
      </c>
      <c r="K40" s="575">
        <f t="shared" si="72"/>
        <v>272</v>
      </c>
      <c r="L40" s="452">
        <f t="shared" si="73"/>
        <v>571.55000000000007</v>
      </c>
      <c r="M40" s="574" t="s">
        <v>401</v>
      </c>
      <c r="N40" s="578" t="s">
        <v>400</v>
      </c>
      <c r="O40" s="587">
        <v>20</v>
      </c>
      <c r="P40" s="574">
        <v>10</v>
      </c>
      <c r="Q40" s="569">
        <f t="shared" si="74"/>
        <v>62560</v>
      </c>
      <c r="R40" s="570">
        <f t="shared" si="75"/>
        <v>19134.5</v>
      </c>
      <c r="S40" s="575">
        <f t="shared" si="76"/>
        <v>5440</v>
      </c>
      <c r="T40" s="452">
        <f t="shared" si="77"/>
        <v>5715.5000000000009</v>
      </c>
      <c r="U40" s="568"/>
      <c r="W40" s="159" t="s">
        <v>529</v>
      </c>
      <c r="X40" s="574" t="s">
        <v>512</v>
      </c>
      <c r="Y40" s="526">
        <v>3</v>
      </c>
      <c r="Z40" s="575">
        <v>4500</v>
      </c>
      <c r="AA40" s="452">
        <v>3840</v>
      </c>
      <c r="AB40" s="576">
        <v>0.08</v>
      </c>
      <c r="AC40" s="577">
        <v>0.23</v>
      </c>
      <c r="AD40" s="575">
        <f t="shared" si="78"/>
        <v>4140</v>
      </c>
      <c r="AE40" s="555">
        <f t="shared" si="79"/>
        <v>2956.8</v>
      </c>
      <c r="AF40" s="575">
        <f t="shared" si="80"/>
        <v>360</v>
      </c>
      <c r="AG40" s="452">
        <f t="shared" si="81"/>
        <v>883.2</v>
      </c>
      <c r="AH40" s="574" t="s">
        <v>401</v>
      </c>
      <c r="AI40" s="578" t="s">
        <v>401</v>
      </c>
      <c r="AJ40" s="587">
        <v>20</v>
      </c>
      <c r="AK40" s="578">
        <v>20</v>
      </c>
      <c r="AL40" s="569">
        <f t="shared" si="82"/>
        <v>82800</v>
      </c>
      <c r="AM40" s="570">
        <f t="shared" si="83"/>
        <v>59136</v>
      </c>
      <c r="AN40" s="575">
        <f t="shared" si="84"/>
        <v>7200</v>
      </c>
      <c r="AO40" s="452">
        <f t="shared" si="85"/>
        <v>17664</v>
      </c>
    </row>
    <row r="41" spans="2:41" s="12" customFormat="1" x14ac:dyDescent="0.3">
      <c r="D41" s="736" t="s">
        <v>93</v>
      </c>
      <c r="E41" s="746">
        <f>SUM(E26:E40)</f>
        <v>25670</v>
      </c>
      <c r="F41" s="748">
        <f>SUM(F26:F40)</f>
        <v>21495</v>
      </c>
      <c r="I41" s="746">
        <f>SUM(I26:I40)</f>
        <v>22627</v>
      </c>
      <c r="J41" s="747">
        <f>SUM(J26:J40)</f>
        <v>16899.5</v>
      </c>
      <c r="K41" s="746">
        <f>SUM(K26:K40)</f>
        <v>3043</v>
      </c>
      <c r="L41" s="748">
        <f>SUM(L26:L40)</f>
        <v>4595.5</v>
      </c>
      <c r="P41" s="752" t="s">
        <v>93</v>
      </c>
      <c r="Q41" s="746">
        <f t="shared" ref="Q41:R41" si="86">SUM(Q26:Q40)</f>
        <v>508574</v>
      </c>
      <c r="R41" s="748">
        <f t="shared" si="86"/>
        <v>271196.5</v>
      </c>
      <c r="S41" s="747">
        <f>SUM(S26:S40)</f>
        <v>53426</v>
      </c>
      <c r="T41" s="748">
        <f>SUM(T26:T40)</f>
        <v>66303.5</v>
      </c>
      <c r="Y41" s="752" t="s">
        <v>93</v>
      </c>
      <c r="Z41" s="746">
        <f>SUM(Z26:Z40)</f>
        <v>36690</v>
      </c>
      <c r="AA41" s="748">
        <f>SUM(AA26:AA40)</f>
        <v>34670</v>
      </c>
      <c r="AD41" s="746">
        <f>SUM(AD26:AD40)</f>
        <v>32167.3</v>
      </c>
      <c r="AE41" s="747">
        <f>SUM(AE26:AE40)</f>
        <v>27059.4</v>
      </c>
      <c r="AF41" s="746">
        <f>SUM(AF26:AF40)</f>
        <v>4522.7</v>
      </c>
      <c r="AG41" s="748">
        <f>SUM(AG26:AG40)</f>
        <v>7610.5999999999995</v>
      </c>
      <c r="AK41" s="736" t="s">
        <v>93</v>
      </c>
      <c r="AL41" s="746">
        <f t="shared" ref="AL41" si="87">SUM(AL26:AL40)</f>
        <v>1497803</v>
      </c>
      <c r="AM41" s="748">
        <f t="shared" ref="AM41" si="88">SUM(AM26:AM40)</f>
        <v>1333497</v>
      </c>
      <c r="AN41" s="747">
        <f>SUM(AN26:AN40)</f>
        <v>183047</v>
      </c>
      <c r="AO41" s="748">
        <f>SUM(AO26:AO40)</f>
        <v>337453</v>
      </c>
    </row>
    <row r="42" spans="2:41" s="122" customFormat="1" x14ac:dyDescent="0.3">
      <c r="D42" s="563"/>
      <c r="E42" s="625"/>
      <c r="F42" s="625"/>
      <c r="P42" s="744"/>
      <c r="Q42" s="744"/>
      <c r="R42" s="744"/>
      <c r="S42" s="745"/>
      <c r="T42" s="745"/>
      <c r="Y42" s="563"/>
      <c r="Z42" s="625"/>
      <c r="AA42" s="625"/>
      <c r="AK42" s="744"/>
      <c r="AL42" s="744"/>
      <c r="AM42" s="744"/>
      <c r="AN42" s="745"/>
      <c r="AO42" s="745"/>
    </row>
    <row r="43" spans="2:41" ht="18" x14ac:dyDescent="0.35">
      <c r="B43" s="446" t="s">
        <v>543</v>
      </c>
      <c r="W43" s="446" t="s">
        <v>544</v>
      </c>
      <c r="Y43" s="1"/>
    </row>
    <row r="44" spans="2:41" ht="15.6" x14ac:dyDescent="0.3">
      <c r="B44" s="556" t="s">
        <v>530</v>
      </c>
      <c r="W44" s="556" t="s">
        <v>531</v>
      </c>
      <c r="Y44" s="1"/>
    </row>
    <row r="45" spans="2:41" ht="28.2" customHeight="1" x14ac:dyDescent="0.3">
      <c r="B45" s="557"/>
      <c r="C45" s="558"/>
      <c r="D45" s="101"/>
      <c r="E45" s="787" t="s">
        <v>506</v>
      </c>
      <c r="F45" s="788"/>
      <c r="G45" s="787" t="s">
        <v>507</v>
      </c>
      <c r="H45" s="788"/>
      <c r="I45" s="789" t="s">
        <v>653</v>
      </c>
      <c r="J45" s="785"/>
      <c r="K45" s="789" t="s">
        <v>654</v>
      </c>
      <c r="L45" s="786"/>
      <c r="M45" s="785" t="s">
        <v>508</v>
      </c>
      <c r="N45" s="786"/>
      <c r="O45" s="789" t="s">
        <v>549</v>
      </c>
      <c r="P45" s="785"/>
      <c r="Q45" s="789" t="s">
        <v>655</v>
      </c>
      <c r="R45" s="786"/>
      <c r="S45" s="789" t="s">
        <v>656</v>
      </c>
      <c r="T45" s="786"/>
      <c r="U45" s="560"/>
      <c r="W45" s="557"/>
      <c r="X45" s="558"/>
      <c r="Y45" s="101"/>
      <c r="Z45" s="787" t="s">
        <v>506</v>
      </c>
      <c r="AA45" s="788"/>
      <c r="AB45" s="787" t="s">
        <v>507</v>
      </c>
      <c r="AC45" s="788"/>
      <c r="AD45" s="789" t="s">
        <v>653</v>
      </c>
      <c r="AE45" s="785"/>
      <c r="AF45" s="789" t="s">
        <v>654</v>
      </c>
      <c r="AG45" s="786"/>
      <c r="AH45" s="785" t="s">
        <v>508</v>
      </c>
      <c r="AI45" s="786"/>
      <c r="AJ45" s="789" t="s">
        <v>549</v>
      </c>
      <c r="AK45" s="785"/>
      <c r="AL45" s="789" t="s">
        <v>655</v>
      </c>
      <c r="AM45" s="786"/>
      <c r="AN45" s="789" t="s">
        <v>656</v>
      </c>
      <c r="AO45" s="786"/>
    </row>
    <row r="46" spans="2:41" ht="28.8" x14ac:dyDescent="0.3">
      <c r="B46" s="559" t="s">
        <v>5</v>
      </c>
      <c r="C46" s="560" t="s">
        <v>509</v>
      </c>
      <c r="D46" s="561" t="s">
        <v>510</v>
      </c>
      <c r="E46" s="278" t="s">
        <v>0</v>
      </c>
      <c r="F46" s="562" t="s">
        <v>1</v>
      </c>
      <c r="G46" s="278" t="s">
        <v>0</v>
      </c>
      <c r="H46" s="562" t="s">
        <v>1</v>
      </c>
      <c r="I46" s="278" t="s">
        <v>0</v>
      </c>
      <c r="J46" s="563" t="s">
        <v>1</v>
      </c>
      <c r="K46" s="278" t="s">
        <v>0</v>
      </c>
      <c r="L46" s="562" t="s">
        <v>1</v>
      </c>
      <c r="M46" s="563" t="s">
        <v>0</v>
      </c>
      <c r="N46" s="562" t="s">
        <v>1</v>
      </c>
      <c r="O46" s="278" t="s">
        <v>0</v>
      </c>
      <c r="P46" s="563" t="s">
        <v>1</v>
      </c>
      <c r="Q46" s="278" t="s">
        <v>0</v>
      </c>
      <c r="R46" s="562" t="s">
        <v>1</v>
      </c>
      <c r="S46" s="588" t="s">
        <v>0</v>
      </c>
      <c r="T46" s="589" t="s">
        <v>1</v>
      </c>
      <c r="U46" s="563"/>
      <c r="W46" s="559" t="s">
        <v>5</v>
      </c>
      <c r="X46" s="560" t="s">
        <v>509</v>
      </c>
      <c r="Y46" s="561" t="s">
        <v>510</v>
      </c>
      <c r="Z46" s="278" t="s">
        <v>0</v>
      </c>
      <c r="AA46" s="562" t="s">
        <v>1</v>
      </c>
      <c r="AB46" s="278" t="s">
        <v>0</v>
      </c>
      <c r="AC46" s="562" t="s">
        <v>1</v>
      </c>
      <c r="AD46" s="278" t="s">
        <v>0</v>
      </c>
      <c r="AE46" s="563" t="s">
        <v>1</v>
      </c>
      <c r="AF46" s="278" t="s">
        <v>0</v>
      </c>
      <c r="AG46" s="562" t="s">
        <v>1</v>
      </c>
      <c r="AH46" s="563" t="s">
        <v>0</v>
      </c>
      <c r="AI46" s="562" t="s">
        <v>1</v>
      </c>
      <c r="AJ46" s="278" t="s">
        <v>0</v>
      </c>
      <c r="AK46" s="563" t="s">
        <v>1</v>
      </c>
      <c r="AL46" s="278" t="s">
        <v>0</v>
      </c>
      <c r="AM46" s="562" t="s">
        <v>1</v>
      </c>
      <c r="AN46" s="588" t="s">
        <v>0</v>
      </c>
      <c r="AO46" s="589" t="s">
        <v>1</v>
      </c>
    </row>
    <row r="47" spans="2:41" x14ac:dyDescent="0.3">
      <c r="B47" s="157" t="s">
        <v>529</v>
      </c>
      <c r="C47" s="564" t="s">
        <v>512</v>
      </c>
      <c r="D47" s="738">
        <v>3</v>
      </c>
      <c r="E47" s="565">
        <v>1820</v>
      </c>
      <c r="F47" s="456">
        <v>3610</v>
      </c>
      <c r="G47" s="566">
        <v>0.19</v>
      </c>
      <c r="H47" s="741">
        <v>0.17</v>
      </c>
      <c r="I47" s="565">
        <f>E47*(1-G47)</f>
        <v>1474.2</v>
      </c>
      <c r="J47" s="554">
        <f>F47*(1-H47)</f>
        <v>2996.2999999999997</v>
      </c>
      <c r="K47" s="565">
        <f>E47*G47</f>
        <v>345.8</v>
      </c>
      <c r="L47" s="456">
        <f>F47*H47</f>
        <v>613.70000000000005</v>
      </c>
      <c r="M47" s="564" t="s">
        <v>513</v>
      </c>
      <c r="N47" s="564" t="s">
        <v>401</v>
      </c>
      <c r="O47" s="585">
        <v>0</v>
      </c>
      <c r="P47" s="564">
        <v>20</v>
      </c>
      <c r="Q47" s="565">
        <f>I47*O47</f>
        <v>0</v>
      </c>
      <c r="R47" s="456">
        <f>J47*P47</f>
        <v>59925.999999999993</v>
      </c>
      <c r="S47" s="565">
        <f>K47*O47</f>
        <v>0</v>
      </c>
      <c r="T47" s="456">
        <f>L47*P47</f>
        <v>12274</v>
      </c>
      <c r="U47" s="568"/>
      <c r="W47" s="157" t="s">
        <v>529</v>
      </c>
      <c r="X47" s="564" t="s">
        <v>512</v>
      </c>
      <c r="Y47" s="738">
        <v>3</v>
      </c>
      <c r="Z47" s="565">
        <v>2550</v>
      </c>
      <c r="AA47" s="456">
        <v>4950</v>
      </c>
      <c r="AB47" s="566">
        <v>0.19</v>
      </c>
      <c r="AC47" s="567">
        <v>0.17</v>
      </c>
      <c r="AD47" s="565">
        <f>Z47*(1-AB47)</f>
        <v>2065.5</v>
      </c>
      <c r="AE47" s="554">
        <f>AA47*(1-AC47)</f>
        <v>4108.5</v>
      </c>
      <c r="AF47" s="565">
        <f>Z47*AB47</f>
        <v>484.5</v>
      </c>
      <c r="AG47" s="456">
        <f>AA47*AC47</f>
        <v>841.50000000000011</v>
      </c>
      <c r="AH47" s="564" t="s">
        <v>400</v>
      </c>
      <c r="AI47" s="62" t="s">
        <v>402</v>
      </c>
      <c r="AJ47" s="585">
        <v>10</v>
      </c>
      <c r="AK47" s="564">
        <v>35</v>
      </c>
      <c r="AL47" s="565">
        <f>AD47*AJ47</f>
        <v>20655</v>
      </c>
      <c r="AM47" s="456">
        <f>AE47*AK47</f>
        <v>143797.5</v>
      </c>
      <c r="AN47" s="565">
        <f>AF47*AJ47</f>
        <v>4845</v>
      </c>
      <c r="AO47" s="456">
        <f>AG47*AK47</f>
        <v>29452.500000000004</v>
      </c>
    </row>
    <row r="48" spans="2:41" x14ac:dyDescent="0.3">
      <c r="B48" s="158" t="s">
        <v>532</v>
      </c>
      <c r="C48" s="568" t="s">
        <v>518</v>
      </c>
      <c r="D48" s="161">
        <v>1</v>
      </c>
      <c r="E48" s="569">
        <v>300</v>
      </c>
      <c r="F48" s="570">
        <v>500</v>
      </c>
      <c r="G48" s="571">
        <v>0.01</v>
      </c>
      <c r="H48" s="552">
        <v>0</v>
      </c>
      <c r="I48" s="569">
        <f t="shared" ref="I48:I61" si="89">E48*(1-G48)</f>
        <v>297</v>
      </c>
      <c r="J48" s="553">
        <f t="shared" ref="J48:J61" si="90">F48*(1-H48)</f>
        <v>500</v>
      </c>
      <c r="K48" s="569">
        <f t="shared" ref="K48:K61" si="91">E48*G48</f>
        <v>3</v>
      </c>
      <c r="L48" s="570">
        <f t="shared" ref="L48:L61" si="92">F48*H48</f>
        <v>0</v>
      </c>
      <c r="M48" s="568" t="s">
        <v>400</v>
      </c>
      <c r="N48" s="568" t="s">
        <v>401</v>
      </c>
      <c r="O48" s="586">
        <v>10</v>
      </c>
      <c r="P48" s="568">
        <v>20</v>
      </c>
      <c r="Q48" s="569">
        <f t="shared" ref="Q48:Q61" si="93">I48*O48</f>
        <v>2970</v>
      </c>
      <c r="R48" s="570">
        <f t="shared" ref="R48:R61" si="94">J48*P48</f>
        <v>10000</v>
      </c>
      <c r="S48" s="569">
        <f t="shared" ref="S48:S61" si="95">K48*O48</f>
        <v>30</v>
      </c>
      <c r="T48" s="570">
        <f t="shared" ref="T48:T61" si="96">L48*P48</f>
        <v>0</v>
      </c>
      <c r="U48" s="568"/>
      <c r="W48" s="158" t="s">
        <v>532</v>
      </c>
      <c r="X48" s="568" t="s">
        <v>518</v>
      </c>
      <c r="Y48" s="161">
        <v>1</v>
      </c>
      <c r="Z48" s="569">
        <v>450</v>
      </c>
      <c r="AA48" s="570">
        <v>750</v>
      </c>
      <c r="AB48" s="571">
        <v>0.01</v>
      </c>
      <c r="AC48" s="572">
        <v>0</v>
      </c>
      <c r="AD48" s="569">
        <f t="shared" ref="AD48:AD62" si="97">Z48*(1-AB48)</f>
        <v>445.5</v>
      </c>
      <c r="AE48" s="553">
        <f t="shared" ref="AE48:AE62" si="98">AA48*(1-AC48)</f>
        <v>750</v>
      </c>
      <c r="AF48" s="569">
        <f t="shared" ref="AF48:AF62" si="99">Z48*AB48</f>
        <v>4.5</v>
      </c>
      <c r="AG48" s="570">
        <f t="shared" ref="AG48:AG62" si="100">AA48*AC48</f>
        <v>0</v>
      </c>
      <c r="AH48" s="568" t="s">
        <v>400</v>
      </c>
      <c r="AI48" s="573" t="s">
        <v>402</v>
      </c>
      <c r="AJ48" s="586">
        <v>10</v>
      </c>
      <c r="AK48" s="568">
        <v>35</v>
      </c>
      <c r="AL48" s="569">
        <f t="shared" ref="AL48:AL62" si="101">AD48*AJ48</f>
        <v>4455</v>
      </c>
      <c r="AM48" s="570">
        <f t="shared" ref="AM48:AM62" si="102">AE48*AK48</f>
        <v>26250</v>
      </c>
      <c r="AN48" s="569">
        <f t="shared" ref="AN48:AN62" si="103">AF48*AJ48</f>
        <v>45</v>
      </c>
      <c r="AO48" s="570">
        <f t="shared" ref="AO48:AO62" si="104">AG48*AK48</f>
        <v>0</v>
      </c>
    </row>
    <row r="49" spans="2:41" x14ac:dyDescent="0.3">
      <c r="B49" s="158" t="s">
        <v>533</v>
      </c>
      <c r="C49" s="568" t="s">
        <v>512</v>
      </c>
      <c r="D49" s="161">
        <v>3</v>
      </c>
      <c r="E49" s="569">
        <v>2120</v>
      </c>
      <c r="F49" s="570">
        <v>4110</v>
      </c>
      <c r="G49" s="571">
        <v>0.16</v>
      </c>
      <c r="H49" s="552">
        <v>0.15</v>
      </c>
      <c r="I49" s="569">
        <f t="shared" si="89"/>
        <v>1780.8</v>
      </c>
      <c r="J49" s="553">
        <f t="shared" si="90"/>
        <v>3493.5</v>
      </c>
      <c r="K49" s="569">
        <f t="shared" si="91"/>
        <v>339.2</v>
      </c>
      <c r="L49" s="570">
        <f t="shared" si="92"/>
        <v>616.5</v>
      </c>
      <c r="M49" s="568" t="s">
        <v>400</v>
      </c>
      <c r="N49" s="568" t="s">
        <v>402</v>
      </c>
      <c r="O49" s="586">
        <v>10</v>
      </c>
      <c r="P49" s="568">
        <v>35</v>
      </c>
      <c r="Q49" s="569">
        <f t="shared" si="93"/>
        <v>17808</v>
      </c>
      <c r="R49" s="570">
        <f t="shared" si="94"/>
        <v>122272.5</v>
      </c>
      <c r="S49" s="569">
        <f t="shared" si="95"/>
        <v>3392</v>
      </c>
      <c r="T49" s="570">
        <f t="shared" si="96"/>
        <v>21577.5</v>
      </c>
      <c r="U49" s="568"/>
      <c r="W49" s="158" t="s">
        <v>533</v>
      </c>
      <c r="X49" s="568" t="s">
        <v>512</v>
      </c>
      <c r="Y49" s="161">
        <v>3</v>
      </c>
      <c r="Z49" s="569">
        <v>3000</v>
      </c>
      <c r="AA49" s="570">
        <v>5700</v>
      </c>
      <c r="AB49" s="571">
        <v>0.16</v>
      </c>
      <c r="AC49" s="572">
        <v>0.15</v>
      </c>
      <c r="AD49" s="569">
        <f t="shared" si="97"/>
        <v>2520</v>
      </c>
      <c r="AE49" s="553">
        <f t="shared" si="98"/>
        <v>4845</v>
      </c>
      <c r="AF49" s="569">
        <f t="shared" si="99"/>
        <v>480</v>
      </c>
      <c r="AG49" s="570">
        <f t="shared" si="100"/>
        <v>855</v>
      </c>
      <c r="AH49" s="568" t="s">
        <v>401</v>
      </c>
      <c r="AI49" s="573" t="s">
        <v>403</v>
      </c>
      <c r="AJ49" s="586">
        <v>20</v>
      </c>
      <c r="AK49" s="568">
        <v>55</v>
      </c>
      <c r="AL49" s="569">
        <f t="shared" si="101"/>
        <v>50400</v>
      </c>
      <c r="AM49" s="570">
        <f t="shared" si="102"/>
        <v>266475</v>
      </c>
      <c r="AN49" s="569">
        <f t="shared" si="103"/>
        <v>9600</v>
      </c>
      <c r="AO49" s="570">
        <f t="shared" si="104"/>
        <v>47025</v>
      </c>
    </row>
    <row r="50" spans="2:41" x14ac:dyDescent="0.3">
      <c r="B50" s="158" t="s">
        <v>524</v>
      </c>
      <c r="C50" s="568" t="s">
        <v>515</v>
      </c>
      <c r="D50" s="161">
        <v>1</v>
      </c>
      <c r="E50" s="569">
        <v>400</v>
      </c>
      <c r="F50" s="570">
        <v>450</v>
      </c>
      <c r="G50" s="571">
        <v>0.06</v>
      </c>
      <c r="H50" s="552">
        <v>0.03</v>
      </c>
      <c r="I50" s="569">
        <f t="shared" si="89"/>
        <v>376</v>
      </c>
      <c r="J50" s="553">
        <f t="shared" si="90"/>
        <v>436.5</v>
      </c>
      <c r="K50" s="569">
        <f t="shared" si="91"/>
        <v>24</v>
      </c>
      <c r="L50" s="570">
        <f t="shared" si="92"/>
        <v>13.5</v>
      </c>
      <c r="M50" s="568" t="s">
        <v>400</v>
      </c>
      <c r="N50" s="568" t="s">
        <v>402</v>
      </c>
      <c r="O50" s="586">
        <v>10</v>
      </c>
      <c r="P50" s="568">
        <v>35</v>
      </c>
      <c r="Q50" s="569">
        <f t="shared" si="93"/>
        <v>3760</v>
      </c>
      <c r="R50" s="570">
        <f t="shared" si="94"/>
        <v>15277.5</v>
      </c>
      <c r="S50" s="569">
        <f t="shared" si="95"/>
        <v>240</v>
      </c>
      <c r="T50" s="570">
        <f t="shared" si="96"/>
        <v>472.5</v>
      </c>
      <c r="U50" s="568"/>
      <c r="W50" s="158" t="s">
        <v>524</v>
      </c>
      <c r="X50" s="568" t="s">
        <v>515</v>
      </c>
      <c r="Y50" s="161">
        <v>1</v>
      </c>
      <c r="Z50" s="569">
        <v>450</v>
      </c>
      <c r="AA50" s="570">
        <v>500</v>
      </c>
      <c r="AB50" s="571">
        <v>0.06</v>
      </c>
      <c r="AC50" s="572">
        <v>0.03</v>
      </c>
      <c r="AD50" s="569">
        <f t="shared" si="97"/>
        <v>423</v>
      </c>
      <c r="AE50" s="553">
        <f t="shared" si="98"/>
        <v>485</v>
      </c>
      <c r="AF50" s="569">
        <f t="shared" si="99"/>
        <v>27</v>
      </c>
      <c r="AG50" s="570">
        <f t="shared" si="100"/>
        <v>15</v>
      </c>
      <c r="AH50" s="568" t="s">
        <v>401</v>
      </c>
      <c r="AI50" s="573" t="s">
        <v>403</v>
      </c>
      <c r="AJ50" s="586">
        <v>20</v>
      </c>
      <c r="AK50" s="568">
        <v>55</v>
      </c>
      <c r="AL50" s="569">
        <f t="shared" si="101"/>
        <v>8460</v>
      </c>
      <c r="AM50" s="570">
        <f t="shared" si="102"/>
        <v>26675</v>
      </c>
      <c r="AN50" s="569">
        <f t="shared" si="103"/>
        <v>540</v>
      </c>
      <c r="AO50" s="570">
        <f t="shared" si="104"/>
        <v>825</v>
      </c>
    </row>
    <row r="51" spans="2:41" x14ac:dyDescent="0.3">
      <c r="B51" s="158" t="s">
        <v>534</v>
      </c>
      <c r="C51" s="568" t="s">
        <v>512</v>
      </c>
      <c r="D51" s="161">
        <v>3</v>
      </c>
      <c r="E51" s="569">
        <v>1720</v>
      </c>
      <c r="F51" s="570">
        <v>3660</v>
      </c>
      <c r="G51" s="571">
        <v>0.18</v>
      </c>
      <c r="H51" s="552">
        <v>0.17</v>
      </c>
      <c r="I51" s="569">
        <f t="shared" si="89"/>
        <v>1410.4</v>
      </c>
      <c r="J51" s="553">
        <f t="shared" si="90"/>
        <v>3037.7999999999997</v>
      </c>
      <c r="K51" s="569">
        <f t="shared" si="91"/>
        <v>309.59999999999997</v>
      </c>
      <c r="L51" s="570">
        <f t="shared" si="92"/>
        <v>622.20000000000005</v>
      </c>
      <c r="M51" s="568" t="s">
        <v>399</v>
      </c>
      <c r="N51" s="568" t="s">
        <v>401</v>
      </c>
      <c r="O51" s="586">
        <v>0</v>
      </c>
      <c r="P51" s="568">
        <v>20</v>
      </c>
      <c r="Q51" s="569">
        <f t="shared" si="93"/>
        <v>0</v>
      </c>
      <c r="R51" s="570">
        <f t="shared" si="94"/>
        <v>60755.999999999993</v>
      </c>
      <c r="S51" s="569">
        <f t="shared" si="95"/>
        <v>0</v>
      </c>
      <c r="T51" s="570">
        <f t="shared" si="96"/>
        <v>12444</v>
      </c>
      <c r="U51" s="568"/>
      <c r="W51" s="158" t="s">
        <v>534</v>
      </c>
      <c r="X51" s="568" t="s">
        <v>512</v>
      </c>
      <c r="Y51" s="161">
        <v>3</v>
      </c>
      <c r="Z51" s="569">
        <v>2550</v>
      </c>
      <c r="AA51" s="570">
        <v>5200</v>
      </c>
      <c r="AB51" s="571">
        <v>0.18</v>
      </c>
      <c r="AC51" s="572">
        <v>0.17</v>
      </c>
      <c r="AD51" s="569">
        <f t="shared" si="97"/>
        <v>2091</v>
      </c>
      <c r="AE51" s="553">
        <f t="shared" si="98"/>
        <v>4316</v>
      </c>
      <c r="AF51" s="569">
        <f t="shared" si="99"/>
        <v>459</v>
      </c>
      <c r="AG51" s="570">
        <f t="shared" si="100"/>
        <v>884.00000000000011</v>
      </c>
      <c r="AH51" s="568" t="s">
        <v>400</v>
      </c>
      <c r="AI51" s="573" t="s">
        <v>402</v>
      </c>
      <c r="AJ51" s="586">
        <v>10</v>
      </c>
      <c r="AK51" s="568">
        <v>35</v>
      </c>
      <c r="AL51" s="569">
        <f t="shared" si="101"/>
        <v>20910</v>
      </c>
      <c r="AM51" s="570">
        <f t="shared" si="102"/>
        <v>151060</v>
      </c>
      <c r="AN51" s="569">
        <f t="shared" si="103"/>
        <v>4590</v>
      </c>
      <c r="AO51" s="570">
        <f t="shared" si="104"/>
        <v>30940.000000000004</v>
      </c>
    </row>
    <row r="52" spans="2:41" x14ac:dyDescent="0.3">
      <c r="B52" s="158" t="s">
        <v>535</v>
      </c>
      <c r="C52" s="568" t="s">
        <v>512</v>
      </c>
      <c r="D52" s="161">
        <v>2</v>
      </c>
      <c r="E52" s="569">
        <v>1720</v>
      </c>
      <c r="F52" s="570">
        <v>3660</v>
      </c>
      <c r="G52" s="571">
        <v>0.18</v>
      </c>
      <c r="H52" s="552">
        <v>0.17</v>
      </c>
      <c r="I52" s="569">
        <f t="shared" si="89"/>
        <v>1410.4</v>
      </c>
      <c r="J52" s="553">
        <f t="shared" si="90"/>
        <v>3037.7999999999997</v>
      </c>
      <c r="K52" s="569">
        <f t="shared" si="91"/>
        <v>309.59999999999997</v>
      </c>
      <c r="L52" s="570">
        <f t="shared" si="92"/>
        <v>622.20000000000005</v>
      </c>
      <c r="M52" s="568" t="s">
        <v>400</v>
      </c>
      <c r="N52" s="568" t="s">
        <v>403</v>
      </c>
      <c r="O52" s="586">
        <v>10</v>
      </c>
      <c r="P52" s="568">
        <v>55</v>
      </c>
      <c r="Q52" s="569">
        <f t="shared" si="93"/>
        <v>14104</v>
      </c>
      <c r="R52" s="570">
        <f t="shared" si="94"/>
        <v>167078.99999999997</v>
      </c>
      <c r="S52" s="569">
        <f t="shared" si="95"/>
        <v>3095.9999999999995</v>
      </c>
      <c r="T52" s="570">
        <f t="shared" si="96"/>
        <v>34221</v>
      </c>
      <c r="U52" s="568"/>
      <c r="W52" s="158" t="s">
        <v>535</v>
      </c>
      <c r="X52" s="568" t="s">
        <v>512</v>
      </c>
      <c r="Y52" s="161">
        <v>2</v>
      </c>
      <c r="Z52" s="569">
        <v>2550</v>
      </c>
      <c r="AA52" s="570">
        <v>5200</v>
      </c>
      <c r="AB52" s="571">
        <v>0.18</v>
      </c>
      <c r="AC52" s="572">
        <v>0.17</v>
      </c>
      <c r="AD52" s="569">
        <f t="shared" si="97"/>
        <v>2091</v>
      </c>
      <c r="AE52" s="553">
        <f t="shared" si="98"/>
        <v>4316</v>
      </c>
      <c r="AF52" s="569">
        <f t="shared" si="99"/>
        <v>459</v>
      </c>
      <c r="AG52" s="570">
        <f t="shared" si="100"/>
        <v>884.00000000000011</v>
      </c>
      <c r="AH52" s="568" t="s">
        <v>401</v>
      </c>
      <c r="AI52" s="573" t="s">
        <v>407</v>
      </c>
      <c r="AJ52" s="586">
        <v>20</v>
      </c>
      <c r="AK52" s="568">
        <v>80</v>
      </c>
      <c r="AL52" s="569">
        <f t="shared" si="101"/>
        <v>41820</v>
      </c>
      <c r="AM52" s="570">
        <f t="shared" si="102"/>
        <v>345280</v>
      </c>
      <c r="AN52" s="569">
        <f t="shared" si="103"/>
        <v>9180</v>
      </c>
      <c r="AO52" s="570">
        <f t="shared" si="104"/>
        <v>70720.000000000015</v>
      </c>
    </row>
    <row r="53" spans="2:41" x14ac:dyDescent="0.3">
      <c r="B53" s="158" t="s">
        <v>526</v>
      </c>
      <c r="C53" s="568" t="s">
        <v>518</v>
      </c>
      <c r="D53" s="161">
        <v>1</v>
      </c>
      <c r="E53" s="569">
        <v>250</v>
      </c>
      <c r="F53" s="570">
        <v>500</v>
      </c>
      <c r="G53" s="571">
        <v>0.03</v>
      </c>
      <c r="H53" s="552">
        <v>0.03</v>
      </c>
      <c r="I53" s="569">
        <f t="shared" si="89"/>
        <v>242.5</v>
      </c>
      <c r="J53" s="553">
        <f t="shared" si="90"/>
        <v>485</v>
      </c>
      <c r="K53" s="569">
        <f t="shared" si="91"/>
        <v>7.5</v>
      </c>
      <c r="L53" s="570">
        <f t="shared" si="92"/>
        <v>15</v>
      </c>
      <c r="M53" s="568" t="s">
        <v>400</v>
      </c>
      <c r="N53" s="568" t="s">
        <v>407</v>
      </c>
      <c r="O53" s="586">
        <v>10</v>
      </c>
      <c r="P53" s="568">
        <v>80</v>
      </c>
      <c r="Q53" s="569">
        <f t="shared" si="93"/>
        <v>2425</v>
      </c>
      <c r="R53" s="570">
        <f t="shared" si="94"/>
        <v>38800</v>
      </c>
      <c r="S53" s="569">
        <f t="shared" si="95"/>
        <v>75</v>
      </c>
      <c r="T53" s="570">
        <f t="shared" si="96"/>
        <v>1200</v>
      </c>
      <c r="U53" s="568"/>
      <c r="W53" s="158" t="s">
        <v>526</v>
      </c>
      <c r="X53" s="568" t="s">
        <v>518</v>
      </c>
      <c r="Y53" s="161">
        <v>1</v>
      </c>
      <c r="Z53" s="569">
        <v>450</v>
      </c>
      <c r="AA53" s="570">
        <v>850</v>
      </c>
      <c r="AB53" s="571">
        <v>0.03</v>
      </c>
      <c r="AC53" s="572">
        <v>0.03</v>
      </c>
      <c r="AD53" s="569">
        <f t="shared" si="97"/>
        <v>436.5</v>
      </c>
      <c r="AE53" s="553">
        <f t="shared" si="98"/>
        <v>824.5</v>
      </c>
      <c r="AF53" s="569">
        <f t="shared" si="99"/>
        <v>13.5</v>
      </c>
      <c r="AG53" s="570">
        <f t="shared" si="100"/>
        <v>25.5</v>
      </c>
      <c r="AH53" s="568" t="s">
        <v>401</v>
      </c>
      <c r="AI53" s="573" t="s">
        <v>407</v>
      </c>
      <c r="AJ53" s="586">
        <v>20</v>
      </c>
      <c r="AK53" s="568">
        <v>80</v>
      </c>
      <c r="AL53" s="569">
        <f t="shared" si="101"/>
        <v>8730</v>
      </c>
      <c r="AM53" s="570">
        <f t="shared" si="102"/>
        <v>65960</v>
      </c>
      <c r="AN53" s="569">
        <f t="shared" si="103"/>
        <v>270</v>
      </c>
      <c r="AO53" s="570">
        <f t="shared" si="104"/>
        <v>2040</v>
      </c>
    </row>
    <row r="54" spans="2:41" x14ac:dyDescent="0.3">
      <c r="B54" s="158" t="s">
        <v>536</v>
      </c>
      <c r="C54" s="568" t="s">
        <v>512</v>
      </c>
      <c r="D54" s="161">
        <v>2</v>
      </c>
      <c r="E54" s="569">
        <v>1970</v>
      </c>
      <c r="F54" s="570">
        <v>4160</v>
      </c>
      <c r="G54" s="571">
        <v>0.16</v>
      </c>
      <c r="H54" s="552">
        <v>0.15</v>
      </c>
      <c r="I54" s="569">
        <f t="shared" si="89"/>
        <v>1654.8</v>
      </c>
      <c r="J54" s="553">
        <f t="shared" si="90"/>
        <v>3536</v>
      </c>
      <c r="K54" s="569">
        <f t="shared" si="91"/>
        <v>315.2</v>
      </c>
      <c r="L54" s="570">
        <f t="shared" si="92"/>
        <v>624</v>
      </c>
      <c r="M54" s="568" t="s">
        <v>400</v>
      </c>
      <c r="N54" s="568" t="s">
        <v>407</v>
      </c>
      <c r="O54" s="586">
        <v>10</v>
      </c>
      <c r="P54" s="568">
        <v>80</v>
      </c>
      <c r="Q54" s="569">
        <f t="shared" si="93"/>
        <v>16548</v>
      </c>
      <c r="R54" s="570">
        <f t="shared" si="94"/>
        <v>282880</v>
      </c>
      <c r="S54" s="569">
        <f t="shared" si="95"/>
        <v>3152</v>
      </c>
      <c r="T54" s="570">
        <f t="shared" si="96"/>
        <v>49920</v>
      </c>
      <c r="U54" s="568"/>
      <c r="W54" s="158" t="s">
        <v>536</v>
      </c>
      <c r="X54" s="568" t="s">
        <v>512</v>
      </c>
      <c r="Y54" s="161">
        <v>2</v>
      </c>
      <c r="Z54" s="569">
        <v>3000</v>
      </c>
      <c r="AA54" s="570">
        <v>6050</v>
      </c>
      <c r="AB54" s="571">
        <v>0.16</v>
      </c>
      <c r="AC54" s="572">
        <v>0.15</v>
      </c>
      <c r="AD54" s="569">
        <f t="shared" si="97"/>
        <v>2520</v>
      </c>
      <c r="AE54" s="553">
        <f t="shared" si="98"/>
        <v>5142.5</v>
      </c>
      <c r="AF54" s="569">
        <f t="shared" si="99"/>
        <v>480</v>
      </c>
      <c r="AG54" s="570">
        <f t="shared" si="100"/>
        <v>907.5</v>
      </c>
      <c r="AH54" s="568" t="s">
        <v>402</v>
      </c>
      <c r="AI54" s="573" t="s">
        <v>407</v>
      </c>
      <c r="AJ54" s="586">
        <v>35</v>
      </c>
      <c r="AK54" s="568">
        <v>80</v>
      </c>
      <c r="AL54" s="569">
        <f t="shared" si="101"/>
        <v>88200</v>
      </c>
      <c r="AM54" s="570">
        <f t="shared" si="102"/>
        <v>411400</v>
      </c>
      <c r="AN54" s="569">
        <f t="shared" si="103"/>
        <v>16800</v>
      </c>
      <c r="AO54" s="570">
        <f t="shared" si="104"/>
        <v>72600</v>
      </c>
    </row>
    <row r="55" spans="2:41" x14ac:dyDescent="0.3">
      <c r="B55" s="158" t="s">
        <v>520</v>
      </c>
      <c r="C55" s="568" t="s">
        <v>515</v>
      </c>
      <c r="D55" s="161">
        <v>1</v>
      </c>
      <c r="E55" s="569">
        <v>700</v>
      </c>
      <c r="F55" s="570">
        <v>1800</v>
      </c>
      <c r="G55" s="571">
        <v>0.06</v>
      </c>
      <c r="H55" s="552">
        <v>0.02</v>
      </c>
      <c r="I55" s="569">
        <f t="shared" si="89"/>
        <v>658</v>
      </c>
      <c r="J55" s="553">
        <f t="shared" si="90"/>
        <v>1764</v>
      </c>
      <c r="K55" s="569">
        <f t="shared" si="91"/>
        <v>42</v>
      </c>
      <c r="L55" s="570">
        <f t="shared" si="92"/>
        <v>36</v>
      </c>
      <c r="M55" s="568" t="s">
        <v>401</v>
      </c>
      <c r="N55" s="568" t="s">
        <v>407</v>
      </c>
      <c r="O55" s="586">
        <v>20</v>
      </c>
      <c r="P55" s="568">
        <v>80</v>
      </c>
      <c r="Q55" s="569">
        <f t="shared" si="93"/>
        <v>13160</v>
      </c>
      <c r="R55" s="570">
        <f t="shared" si="94"/>
        <v>141120</v>
      </c>
      <c r="S55" s="569">
        <f t="shared" si="95"/>
        <v>840</v>
      </c>
      <c r="T55" s="570">
        <f t="shared" si="96"/>
        <v>2880</v>
      </c>
      <c r="U55" s="568"/>
      <c r="W55" s="158" t="s">
        <v>520</v>
      </c>
      <c r="X55" s="568" t="s">
        <v>515</v>
      </c>
      <c r="Y55" s="161">
        <v>1</v>
      </c>
      <c r="Z55" s="569">
        <v>950</v>
      </c>
      <c r="AA55" s="570">
        <v>2400</v>
      </c>
      <c r="AB55" s="571">
        <v>0.06</v>
      </c>
      <c r="AC55" s="572">
        <v>0.02</v>
      </c>
      <c r="AD55" s="569">
        <f t="shared" si="97"/>
        <v>893</v>
      </c>
      <c r="AE55" s="553">
        <f t="shared" si="98"/>
        <v>2352</v>
      </c>
      <c r="AF55" s="569">
        <f t="shared" si="99"/>
        <v>57</v>
      </c>
      <c r="AG55" s="570">
        <f t="shared" si="100"/>
        <v>48</v>
      </c>
      <c r="AH55" s="568" t="s">
        <v>402</v>
      </c>
      <c r="AI55" s="573" t="s">
        <v>407</v>
      </c>
      <c r="AJ55" s="586">
        <v>35</v>
      </c>
      <c r="AK55" s="568">
        <v>80</v>
      </c>
      <c r="AL55" s="569">
        <f t="shared" si="101"/>
        <v>31255</v>
      </c>
      <c r="AM55" s="570">
        <f t="shared" si="102"/>
        <v>188160</v>
      </c>
      <c r="AN55" s="569">
        <f t="shared" si="103"/>
        <v>1995</v>
      </c>
      <c r="AO55" s="570">
        <f t="shared" si="104"/>
        <v>3840</v>
      </c>
    </row>
    <row r="56" spans="2:41" x14ac:dyDescent="0.3">
      <c r="B56" s="158" t="s">
        <v>521</v>
      </c>
      <c r="C56" s="568" t="s">
        <v>512</v>
      </c>
      <c r="D56" s="161">
        <v>2</v>
      </c>
      <c r="E56" s="569">
        <v>1270</v>
      </c>
      <c r="F56" s="570">
        <v>2360</v>
      </c>
      <c r="G56" s="571">
        <v>0.25</v>
      </c>
      <c r="H56" s="552">
        <v>0.22</v>
      </c>
      <c r="I56" s="569">
        <f t="shared" si="89"/>
        <v>952.5</v>
      </c>
      <c r="J56" s="553">
        <f t="shared" si="90"/>
        <v>1840.8</v>
      </c>
      <c r="K56" s="569">
        <f t="shared" si="91"/>
        <v>317.5</v>
      </c>
      <c r="L56" s="570">
        <f t="shared" si="92"/>
        <v>519.20000000000005</v>
      </c>
      <c r="M56" s="568" t="s">
        <v>400</v>
      </c>
      <c r="N56" s="568" t="s">
        <v>401</v>
      </c>
      <c r="O56" s="586">
        <v>10</v>
      </c>
      <c r="P56" s="568">
        <v>20</v>
      </c>
      <c r="Q56" s="569">
        <f t="shared" si="93"/>
        <v>9525</v>
      </c>
      <c r="R56" s="570">
        <f t="shared" si="94"/>
        <v>36816</v>
      </c>
      <c r="S56" s="569">
        <f t="shared" si="95"/>
        <v>3175</v>
      </c>
      <c r="T56" s="570">
        <f t="shared" si="96"/>
        <v>10384</v>
      </c>
      <c r="U56" s="568"/>
      <c r="W56" s="158" t="s">
        <v>521</v>
      </c>
      <c r="X56" s="568" t="s">
        <v>512</v>
      </c>
      <c r="Y56" s="161">
        <v>2</v>
      </c>
      <c r="Z56" s="569">
        <v>2050</v>
      </c>
      <c r="AA56" s="570">
        <v>3650</v>
      </c>
      <c r="AB56" s="571">
        <v>0.25</v>
      </c>
      <c r="AC56" s="572">
        <v>0.22</v>
      </c>
      <c r="AD56" s="569">
        <f t="shared" si="97"/>
        <v>1537.5</v>
      </c>
      <c r="AE56" s="553">
        <f t="shared" si="98"/>
        <v>2847</v>
      </c>
      <c r="AF56" s="569">
        <f t="shared" si="99"/>
        <v>512.5</v>
      </c>
      <c r="AG56" s="570">
        <f t="shared" si="100"/>
        <v>803</v>
      </c>
      <c r="AH56" s="568" t="s">
        <v>401</v>
      </c>
      <c r="AI56" s="573" t="s">
        <v>407</v>
      </c>
      <c r="AJ56" s="586">
        <v>20</v>
      </c>
      <c r="AK56" s="568">
        <v>80</v>
      </c>
      <c r="AL56" s="569">
        <f t="shared" si="101"/>
        <v>30750</v>
      </c>
      <c r="AM56" s="570">
        <f t="shared" si="102"/>
        <v>227760</v>
      </c>
      <c r="AN56" s="569">
        <f t="shared" si="103"/>
        <v>10250</v>
      </c>
      <c r="AO56" s="570">
        <f t="shared" si="104"/>
        <v>64240</v>
      </c>
    </row>
    <row r="57" spans="2:41" x14ac:dyDescent="0.3">
      <c r="B57" s="158" t="s">
        <v>522</v>
      </c>
      <c r="C57" s="568" t="s">
        <v>518</v>
      </c>
      <c r="D57" s="161">
        <v>1</v>
      </c>
      <c r="E57" s="569">
        <v>100</v>
      </c>
      <c r="F57" s="570">
        <v>400</v>
      </c>
      <c r="G57" s="571">
        <v>0</v>
      </c>
      <c r="H57" s="552">
        <v>0.01</v>
      </c>
      <c r="I57" s="569">
        <f t="shared" si="89"/>
        <v>100</v>
      </c>
      <c r="J57" s="553">
        <f t="shared" si="90"/>
        <v>396</v>
      </c>
      <c r="K57" s="569">
        <f t="shared" si="91"/>
        <v>0</v>
      </c>
      <c r="L57" s="570">
        <f t="shared" si="92"/>
        <v>4</v>
      </c>
      <c r="M57" s="568" t="s">
        <v>400</v>
      </c>
      <c r="N57" s="568" t="s">
        <v>402</v>
      </c>
      <c r="O57" s="586">
        <v>10</v>
      </c>
      <c r="P57" s="568">
        <v>35</v>
      </c>
      <c r="Q57" s="569">
        <f t="shared" si="93"/>
        <v>1000</v>
      </c>
      <c r="R57" s="570">
        <f t="shared" si="94"/>
        <v>13860</v>
      </c>
      <c r="S57" s="569">
        <f t="shared" si="95"/>
        <v>0</v>
      </c>
      <c r="T57" s="570">
        <f t="shared" si="96"/>
        <v>140</v>
      </c>
      <c r="U57" s="568"/>
      <c r="W57" s="158" t="s">
        <v>522</v>
      </c>
      <c r="X57" s="568" t="s">
        <v>518</v>
      </c>
      <c r="Y57" s="161">
        <v>1</v>
      </c>
      <c r="Z57" s="569">
        <v>200</v>
      </c>
      <c r="AA57" s="570">
        <v>700</v>
      </c>
      <c r="AB57" s="571">
        <v>0</v>
      </c>
      <c r="AC57" s="572">
        <v>0.01</v>
      </c>
      <c r="AD57" s="569">
        <f t="shared" si="97"/>
        <v>200</v>
      </c>
      <c r="AE57" s="553">
        <f t="shared" si="98"/>
        <v>693</v>
      </c>
      <c r="AF57" s="569">
        <f t="shared" si="99"/>
        <v>0</v>
      </c>
      <c r="AG57" s="570">
        <f t="shared" si="100"/>
        <v>7</v>
      </c>
      <c r="AH57" s="568" t="s">
        <v>401</v>
      </c>
      <c r="AI57" s="573" t="s">
        <v>407</v>
      </c>
      <c r="AJ57" s="586">
        <v>20</v>
      </c>
      <c r="AK57" s="568">
        <v>80</v>
      </c>
      <c r="AL57" s="569">
        <f t="shared" si="101"/>
        <v>4000</v>
      </c>
      <c r="AM57" s="570">
        <f t="shared" si="102"/>
        <v>55440</v>
      </c>
      <c r="AN57" s="569">
        <f t="shared" si="103"/>
        <v>0</v>
      </c>
      <c r="AO57" s="570">
        <f t="shared" si="104"/>
        <v>560</v>
      </c>
    </row>
    <row r="58" spans="2:41" x14ac:dyDescent="0.3">
      <c r="B58" s="158" t="s">
        <v>537</v>
      </c>
      <c r="C58" s="568" t="s">
        <v>512</v>
      </c>
      <c r="D58" s="161">
        <v>2</v>
      </c>
      <c r="E58" s="569">
        <v>1370</v>
      </c>
      <c r="F58" s="570">
        <v>2760</v>
      </c>
      <c r="G58" s="571">
        <v>0.24</v>
      </c>
      <c r="H58" s="552">
        <v>0.22</v>
      </c>
      <c r="I58" s="569">
        <f t="shared" si="89"/>
        <v>1041.2</v>
      </c>
      <c r="J58" s="553">
        <f t="shared" si="90"/>
        <v>2152.8000000000002</v>
      </c>
      <c r="K58" s="569">
        <f t="shared" si="91"/>
        <v>328.8</v>
      </c>
      <c r="L58" s="570">
        <f t="shared" si="92"/>
        <v>607.20000000000005</v>
      </c>
      <c r="M58" s="568" t="s">
        <v>400</v>
      </c>
      <c r="N58" s="568" t="s">
        <v>401</v>
      </c>
      <c r="O58" s="586">
        <v>10</v>
      </c>
      <c r="P58" s="568">
        <v>20</v>
      </c>
      <c r="Q58" s="569">
        <f t="shared" si="93"/>
        <v>10412</v>
      </c>
      <c r="R58" s="570">
        <f t="shared" si="94"/>
        <v>43056</v>
      </c>
      <c r="S58" s="569">
        <f t="shared" si="95"/>
        <v>3288</v>
      </c>
      <c r="T58" s="570">
        <f t="shared" si="96"/>
        <v>12144</v>
      </c>
      <c r="U58" s="568"/>
      <c r="W58" s="158" t="s">
        <v>537</v>
      </c>
      <c r="X58" s="568" t="s">
        <v>512</v>
      </c>
      <c r="Y58" s="161">
        <v>2</v>
      </c>
      <c r="Z58" s="569">
        <v>2250</v>
      </c>
      <c r="AA58" s="570">
        <v>4350</v>
      </c>
      <c r="AB58" s="571">
        <v>0.24</v>
      </c>
      <c r="AC58" s="572">
        <v>0.22</v>
      </c>
      <c r="AD58" s="569">
        <f t="shared" si="97"/>
        <v>1710</v>
      </c>
      <c r="AE58" s="553">
        <f t="shared" si="98"/>
        <v>3393</v>
      </c>
      <c r="AF58" s="569">
        <f t="shared" si="99"/>
        <v>540</v>
      </c>
      <c r="AG58" s="570">
        <f t="shared" si="100"/>
        <v>957</v>
      </c>
      <c r="AH58" s="568" t="s">
        <v>401</v>
      </c>
      <c r="AI58" s="573" t="s">
        <v>407</v>
      </c>
      <c r="AJ58" s="586">
        <v>20</v>
      </c>
      <c r="AK58" s="568">
        <v>80</v>
      </c>
      <c r="AL58" s="569">
        <f t="shared" si="101"/>
        <v>34200</v>
      </c>
      <c r="AM58" s="570">
        <f t="shared" si="102"/>
        <v>271440</v>
      </c>
      <c r="AN58" s="569">
        <f t="shared" si="103"/>
        <v>10800</v>
      </c>
      <c r="AO58" s="570">
        <f t="shared" si="104"/>
        <v>76560</v>
      </c>
    </row>
    <row r="59" spans="2:41" x14ac:dyDescent="0.3">
      <c r="B59" s="158" t="s">
        <v>514</v>
      </c>
      <c r="C59" s="568" t="s">
        <v>515</v>
      </c>
      <c r="D59" s="161">
        <v>1</v>
      </c>
      <c r="E59" s="569">
        <v>460</v>
      </c>
      <c r="F59" s="570">
        <v>1100</v>
      </c>
      <c r="G59" s="571">
        <v>0.08</v>
      </c>
      <c r="H59" s="552">
        <v>0.01</v>
      </c>
      <c r="I59" s="569">
        <f t="shared" si="89"/>
        <v>423.20000000000005</v>
      </c>
      <c r="J59" s="553">
        <f t="shared" si="90"/>
        <v>1089</v>
      </c>
      <c r="K59" s="569">
        <f t="shared" si="91"/>
        <v>36.800000000000004</v>
      </c>
      <c r="L59" s="570">
        <f t="shared" si="92"/>
        <v>11</v>
      </c>
      <c r="M59" s="568" t="s">
        <v>400</v>
      </c>
      <c r="N59" s="568" t="s">
        <v>402</v>
      </c>
      <c r="O59" s="586">
        <v>10</v>
      </c>
      <c r="P59" s="568">
        <v>35</v>
      </c>
      <c r="Q59" s="569">
        <f t="shared" si="93"/>
        <v>4232</v>
      </c>
      <c r="R59" s="570">
        <f t="shared" si="94"/>
        <v>38115</v>
      </c>
      <c r="S59" s="569">
        <f t="shared" si="95"/>
        <v>368.00000000000006</v>
      </c>
      <c r="T59" s="570">
        <f t="shared" si="96"/>
        <v>385</v>
      </c>
      <c r="U59" s="568"/>
      <c r="W59" s="158" t="s">
        <v>514</v>
      </c>
      <c r="X59" s="568" t="s">
        <v>515</v>
      </c>
      <c r="Y59" s="161">
        <v>1</v>
      </c>
      <c r="Z59" s="569">
        <v>750</v>
      </c>
      <c r="AA59" s="570">
        <v>1800</v>
      </c>
      <c r="AB59" s="571">
        <v>0.08</v>
      </c>
      <c r="AC59" s="572">
        <v>0.01</v>
      </c>
      <c r="AD59" s="569">
        <f t="shared" si="97"/>
        <v>690</v>
      </c>
      <c r="AE59" s="553">
        <f t="shared" si="98"/>
        <v>1782</v>
      </c>
      <c r="AF59" s="569">
        <f t="shared" si="99"/>
        <v>60</v>
      </c>
      <c r="AG59" s="570">
        <f t="shared" si="100"/>
        <v>18</v>
      </c>
      <c r="AH59" s="568" t="s">
        <v>401</v>
      </c>
      <c r="AI59" s="573" t="s">
        <v>407</v>
      </c>
      <c r="AJ59" s="586">
        <v>20</v>
      </c>
      <c r="AK59" s="568">
        <v>80</v>
      </c>
      <c r="AL59" s="569">
        <f t="shared" si="101"/>
        <v>13800</v>
      </c>
      <c r="AM59" s="570">
        <f t="shared" si="102"/>
        <v>142560</v>
      </c>
      <c r="AN59" s="569">
        <f t="shared" si="103"/>
        <v>1200</v>
      </c>
      <c r="AO59" s="570">
        <f t="shared" si="104"/>
        <v>1440</v>
      </c>
    </row>
    <row r="60" spans="2:41" x14ac:dyDescent="0.3">
      <c r="B60" s="158" t="s">
        <v>516</v>
      </c>
      <c r="C60" s="568" t="s">
        <v>512</v>
      </c>
      <c r="D60" s="161">
        <v>2</v>
      </c>
      <c r="E60" s="569">
        <v>910</v>
      </c>
      <c r="F60" s="570">
        <v>1660</v>
      </c>
      <c r="G60" s="571">
        <v>0.33</v>
      </c>
      <c r="H60" s="552">
        <v>0.33</v>
      </c>
      <c r="I60" s="569">
        <f t="shared" si="89"/>
        <v>609.69999999999993</v>
      </c>
      <c r="J60" s="553">
        <f t="shared" si="90"/>
        <v>1112.1999999999998</v>
      </c>
      <c r="K60" s="569">
        <f t="shared" si="91"/>
        <v>300.3</v>
      </c>
      <c r="L60" s="570">
        <f t="shared" si="92"/>
        <v>547.80000000000007</v>
      </c>
      <c r="M60" s="568" t="s">
        <v>399</v>
      </c>
      <c r="N60" s="568" t="s">
        <v>400</v>
      </c>
      <c r="O60" s="586">
        <v>0</v>
      </c>
      <c r="P60" s="568">
        <v>10</v>
      </c>
      <c r="Q60" s="569">
        <f t="shared" si="93"/>
        <v>0</v>
      </c>
      <c r="R60" s="570">
        <f t="shared" si="94"/>
        <v>11121.999999999998</v>
      </c>
      <c r="S60" s="569">
        <f t="shared" si="95"/>
        <v>0</v>
      </c>
      <c r="T60" s="570">
        <f t="shared" si="96"/>
        <v>5478.0000000000009</v>
      </c>
      <c r="U60" s="568"/>
      <c r="W60" s="158" t="s">
        <v>516</v>
      </c>
      <c r="X60" s="568" t="s">
        <v>512</v>
      </c>
      <c r="Y60" s="161">
        <v>2</v>
      </c>
      <c r="Z60" s="569">
        <v>1500</v>
      </c>
      <c r="AA60" s="570">
        <v>2550</v>
      </c>
      <c r="AB60" s="571">
        <v>0.33</v>
      </c>
      <c r="AC60" s="572">
        <v>0.33</v>
      </c>
      <c r="AD60" s="569">
        <f t="shared" si="97"/>
        <v>1004.9999999999999</v>
      </c>
      <c r="AE60" s="553">
        <f t="shared" si="98"/>
        <v>1708.4999999999998</v>
      </c>
      <c r="AF60" s="569">
        <f t="shared" si="99"/>
        <v>495</v>
      </c>
      <c r="AG60" s="570">
        <f t="shared" si="100"/>
        <v>841.5</v>
      </c>
      <c r="AH60" s="568" t="s">
        <v>400</v>
      </c>
      <c r="AI60" s="573" t="s">
        <v>401</v>
      </c>
      <c r="AJ60" s="586">
        <v>10</v>
      </c>
      <c r="AK60" s="568">
        <v>20</v>
      </c>
      <c r="AL60" s="569">
        <f t="shared" si="101"/>
        <v>10049.999999999998</v>
      </c>
      <c r="AM60" s="570">
        <f t="shared" si="102"/>
        <v>34169.999999999993</v>
      </c>
      <c r="AN60" s="569">
        <f t="shared" si="103"/>
        <v>4950</v>
      </c>
      <c r="AO60" s="570">
        <f t="shared" si="104"/>
        <v>16830</v>
      </c>
    </row>
    <row r="61" spans="2:41" x14ac:dyDescent="0.3">
      <c r="B61" s="158" t="s">
        <v>517</v>
      </c>
      <c r="C61" s="568" t="s">
        <v>518</v>
      </c>
      <c r="D61" s="161">
        <v>1</v>
      </c>
      <c r="E61" s="569">
        <v>90</v>
      </c>
      <c r="F61" s="570">
        <v>40</v>
      </c>
      <c r="G61" s="571">
        <v>0</v>
      </c>
      <c r="H61" s="552">
        <v>0.1</v>
      </c>
      <c r="I61" s="569">
        <f t="shared" si="89"/>
        <v>90</v>
      </c>
      <c r="J61" s="553">
        <f t="shared" si="90"/>
        <v>36</v>
      </c>
      <c r="K61" s="569">
        <f t="shared" si="91"/>
        <v>0</v>
      </c>
      <c r="L61" s="570">
        <f t="shared" si="92"/>
        <v>4</v>
      </c>
      <c r="M61" s="568" t="s">
        <v>399</v>
      </c>
      <c r="N61" s="568" t="s">
        <v>400</v>
      </c>
      <c r="O61" s="586">
        <v>0</v>
      </c>
      <c r="P61" s="568">
        <v>10</v>
      </c>
      <c r="Q61" s="569">
        <f t="shared" si="93"/>
        <v>0</v>
      </c>
      <c r="R61" s="570">
        <f t="shared" si="94"/>
        <v>360</v>
      </c>
      <c r="S61" s="569">
        <f t="shared" si="95"/>
        <v>0</v>
      </c>
      <c r="T61" s="570">
        <f t="shared" si="96"/>
        <v>40</v>
      </c>
      <c r="U61" s="568"/>
      <c r="W61" s="158" t="s">
        <v>517</v>
      </c>
      <c r="X61" s="568" t="s">
        <v>518</v>
      </c>
      <c r="Y61" s="161">
        <v>1</v>
      </c>
      <c r="Z61" s="569">
        <v>100</v>
      </c>
      <c r="AA61" s="570">
        <v>50</v>
      </c>
      <c r="AB61" s="571">
        <v>0</v>
      </c>
      <c r="AC61" s="572">
        <v>0.1</v>
      </c>
      <c r="AD61" s="569">
        <f t="shared" si="97"/>
        <v>100</v>
      </c>
      <c r="AE61" s="553">
        <f t="shared" si="98"/>
        <v>45</v>
      </c>
      <c r="AF61" s="569">
        <f t="shared" si="99"/>
        <v>0</v>
      </c>
      <c r="AG61" s="570">
        <f t="shared" si="100"/>
        <v>5</v>
      </c>
      <c r="AH61" s="568" t="s">
        <v>400</v>
      </c>
      <c r="AI61" s="573" t="s">
        <v>401</v>
      </c>
      <c r="AJ61" s="586">
        <v>10</v>
      </c>
      <c r="AK61" s="568">
        <v>20</v>
      </c>
      <c r="AL61" s="569">
        <f t="shared" si="101"/>
        <v>1000</v>
      </c>
      <c r="AM61" s="570">
        <f t="shared" si="102"/>
        <v>900</v>
      </c>
      <c r="AN61" s="569">
        <f t="shared" si="103"/>
        <v>0</v>
      </c>
      <c r="AO61" s="570">
        <f t="shared" si="104"/>
        <v>100</v>
      </c>
    </row>
    <row r="62" spans="2:41" x14ac:dyDescent="0.3">
      <c r="B62" s="159" t="s">
        <v>511</v>
      </c>
      <c r="C62" s="579" t="s">
        <v>512</v>
      </c>
      <c r="D62" s="526">
        <v>2</v>
      </c>
      <c r="E62" s="468">
        <v>1000</v>
      </c>
      <c r="F62" s="580">
        <v>1700</v>
      </c>
      <c r="G62" s="581">
        <v>0.32</v>
      </c>
      <c r="H62" s="743">
        <v>0.33</v>
      </c>
      <c r="I62" s="575">
        <f t="shared" ref="I62" si="105">E62*(1-G62)</f>
        <v>679.99999999999989</v>
      </c>
      <c r="J62" s="555">
        <f t="shared" ref="J62" si="106">F62*(1-H62)</f>
        <v>1138.9999999999998</v>
      </c>
      <c r="K62" s="575">
        <f t="shared" ref="K62" si="107">E62*G62</f>
        <v>320</v>
      </c>
      <c r="L62" s="452">
        <f t="shared" ref="L62" si="108">F62*H62</f>
        <v>561</v>
      </c>
      <c r="M62" s="579" t="s">
        <v>399</v>
      </c>
      <c r="N62" s="579" t="s">
        <v>400</v>
      </c>
      <c r="O62" s="593">
        <v>0</v>
      </c>
      <c r="P62" s="579">
        <v>10</v>
      </c>
      <c r="Q62" s="575">
        <f t="shared" ref="Q62" si="109">I62*O62</f>
        <v>0</v>
      </c>
      <c r="R62" s="452">
        <f t="shared" ref="R62" si="110">J62*P62</f>
        <v>11389.999999999998</v>
      </c>
      <c r="S62" s="575">
        <f t="shared" ref="S62" si="111">K62*O62</f>
        <v>0</v>
      </c>
      <c r="T62" s="452">
        <f t="shared" ref="T62" si="112">L62*P62</f>
        <v>5610</v>
      </c>
      <c r="U62" s="584"/>
      <c r="W62" s="159" t="s">
        <v>511</v>
      </c>
      <c r="X62" s="579" t="s">
        <v>512</v>
      </c>
      <c r="Y62" s="526">
        <v>2</v>
      </c>
      <c r="Z62" s="468">
        <v>1600</v>
      </c>
      <c r="AA62" s="580">
        <v>2600</v>
      </c>
      <c r="AB62" s="581">
        <v>0.32</v>
      </c>
      <c r="AC62" s="582">
        <v>0.33</v>
      </c>
      <c r="AD62" s="575">
        <f t="shared" si="97"/>
        <v>1088</v>
      </c>
      <c r="AE62" s="555">
        <f t="shared" si="98"/>
        <v>1741.9999999999998</v>
      </c>
      <c r="AF62" s="575">
        <f t="shared" si="99"/>
        <v>512</v>
      </c>
      <c r="AG62" s="452">
        <f t="shared" si="100"/>
        <v>858</v>
      </c>
      <c r="AH62" s="579" t="s">
        <v>400</v>
      </c>
      <c r="AI62" s="583" t="s">
        <v>401</v>
      </c>
      <c r="AJ62" s="593">
        <v>10</v>
      </c>
      <c r="AK62" s="579">
        <v>20</v>
      </c>
      <c r="AL62" s="575">
        <f t="shared" si="101"/>
        <v>10880</v>
      </c>
      <c r="AM62" s="452">
        <f t="shared" si="102"/>
        <v>34839.999999999993</v>
      </c>
      <c r="AN62" s="575">
        <f t="shared" si="103"/>
        <v>5120</v>
      </c>
      <c r="AO62" s="452">
        <f t="shared" si="104"/>
        <v>17160</v>
      </c>
    </row>
    <row r="63" spans="2:41" s="12" customFormat="1" x14ac:dyDescent="0.3">
      <c r="D63" s="752" t="s">
        <v>93</v>
      </c>
      <c r="E63" s="746">
        <f>SUM(E47:E62)</f>
        <v>16200</v>
      </c>
      <c r="F63" s="748">
        <f>SUM(F47:F62)</f>
        <v>32470</v>
      </c>
      <c r="I63" s="746">
        <f>SUM(I47:I62)</f>
        <v>13200.7</v>
      </c>
      <c r="J63" s="747">
        <f>SUM(J47:J62)</f>
        <v>27052.699999999997</v>
      </c>
      <c r="K63" s="746">
        <f>SUM(K47:K62)</f>
        <v>2999.3</v>
      </c>
      <c r="L63" s="748">
        <f>SUM(L47:L62)</f>
        <v>5417.3</v>
      </c>
      <c r="N63" s="737"/>
      <c r="O63" s="737"/>
      <c r="P63" s="749" t="s">
        <v>93</v>
      </c>
      <c r="Q63" s="750">
        <f>SUM(Q47:Q62)</f>
        <v>95944</v>
      </c>
      <c r="R63" s="751">
        <f>SUM(R47:R62)</f>
        <v>1052830</v>
      </c>
      <c r="S63" s="750">
        <f>SUM(S47:S62)</f>
        <v>17656</v>
      </c>
      <c r="T63" s="751">
        <f>SUM(T47:T62)</f>
        <v>169170</v>
      </c>
      <c r="U63" s="737"/>
      <c r="Y63" s="752" t="s">
        <v>93</v>
      </c>
      <c r="Z63" s="746">
        <f>SUM(Z47:Z62)</f>
        <v>24400</v>
      </c>
      <c r="AA63" s="748">
        <f>SUM(AA47:AA62)</f>
        <v>47300</v>
      </c>
      <c r="AD63" s="746">
        <f>SUM(AD47:AD62)</f>
        <v>19816</v>
      </c>
      <c r="AE63" s="747">
        <f>SUM(AE47:AE62)</f>
        <v>39350</v>
      </c>
      <c r="AF63" s="746">
        <f>SUM(AF47:AF62)</f>
        <v>4584</v>
      </c>
      <c r="AG63" s="748">
        <f>SUM(AG47:AG62)</f>
        <v>7950</v>
      </c>
      <c r="AJ63" s="737"/>
      <c r="AK63" s="739" t="s">
        <v>93</v>
      </c>
      <c r="AL63" s="750">
        <f>SUM(AL47:AL62)</f>
        <v>379565</v>
      </c>
      <c r="AM63" s="751">
        <f>SUM(AM47:AM62)</f>
        <v>2392167.5</v>
      </c>
      <c r="AN63" s="750">
        <f>SUM(AN47:AN62)</f>
        <v>80185</v>
      </c>
      <c r="AO63" s="751">
        <f>SUM(AO47:AO62)</f>
        <v>434332.5</v>
      </c>
    </row>
    <row r="64" spans="2:41" s="122" customFormat="1" x14ac:dyDescent="0.3">
      <c r="D64" s="563"/>
      <c r="E64" s="625"/>
      <c r="F64" s="625"/>
      <c r="P64" s="744"/>
      <c r="Q64" s="744"/>
      <c r="R64" s="744"/>
      <c r="S64" s="745"/>
      <c r="T64" s="745"/>
      <c r="Y64" s="563"/>
      <c r="Z64" s="625"/>
      <c r="AA64" s="625"/>
      <c r="AK64" s="744"/>
      <c r="AL64" s="744"/>
      <c r="AM64" s="744"/>
      <c r="AN64" s="745"/>
      <c r="AO64" s="745"/>
    </row>
    <row r="65" spans="2:41" ht="18" x14ac:dyDescent="0.35">
      <c r="B65" s="446" t="s">
        <v>545</v>
      </c>
      <c r="W65" s="446" t="s">
        <v>546</v>
      </c>
      <c r="Y65" s="1"/>
    </row>
    <row r="66" spans="2:41" ht="15.6" x14ac:dyDescent="0.3">
      <c r="B66" s="556" t="s">
        <v>504</v>
      </c>
      <c r="W66" s="556" t="s">
        <v>505</v>
      </c>
      <c r="Y66" s="1"/>
    </row>
    <row r="67" spans="2:41" ht="28.8" customHeight="1" x14ac:dyDescent="0.3">
      <c r="B67" s="557"/>
      <c r="C67" s="558"/>
      <c r="D67" s="101"/>
      <c r="E67" s="787" t="s">
        <v>506</v>
      </c>
      <c r="F67" s="788"/>
      <c r="G67" s="787" t="s">
        <v>507</v>
      </c>
      <c r="H67" s="788"/>
      <c r="I67" s="789" t="s">
        <v>653</v>
      </c>
      <c r="J67" s="786"/>
      <c r="K67" s="789" t="s">
        <v>654</v>
      </c>
      <c r="L67" s="786"/>
      <c r="M67" s="785" t="s">
        <v>508</v>
      </c>
      <c r="N67" s="786"/>
      <c r="O67" s="789" t="s">
        <v>549</v>
      </c>
      <c r="P67" s="785"/>
      <c r="Q67" s="789" t="s">
        <v>655</v>
      </c>
      <c r="R67" s="786"/>
      <c r="S67" s="789" t="s">
        <v>656</v>
      </c>
      <c r="T67" s="786"/>
      <c r="U67" s="560"/>
      <c r="W67" s="557"/>
      <c r="X67" s="558"/>
      <c r="Y67" s="101"/>
      <c r="Z67" s="787" t="s">
        <v>506</v>
      </c>
      <c r="AA67" s="788"/>
      <c r="AB67" s="787" t="s">
        <v>507</v>
      </c>
      <c r="AC67" s="788"/>
      <c r="AD67" s="789" t="s">
        <v>653</v>
      </c>
      <c r="AE67" s="786"/>
      <c r="AF67" s="789" t="s">
        <v>654</v>
      </c>
      <c r="AG67" s="786"/>
      <c r="AH67" s="785" t="s">
        <v>508</v>
      </c>
      <c r="AI67" s="786"/>
      <c r="AJ67" s="789" t="s">
        <v>549</v>
      </c>
      <c r="AK67" s="785"/>
      <c r="AL67" s="789" t="s">
        <v>655</v>
      </c>
      <c r="AM67" s="786"/>
      <c r="AN67" s="789" t="s">
        <v>656</v>
      </c>
      <c r="AO67" s="786"/>
    </row>
    <row r="68" spans="2:41" ht="28.8" x14ac:dyDescent="0.3">
      <c r="B68" s="559" t="s">
        <v>5</v>
      </c>
      <c r="C68" s="560" t="s">
        <v>509</v>
      </c>
      <c r="D68" s="561" t="s">
        <v>510</v>
      </c>
      <c r="E68" s="278" t="s">
        <v>0</v>
      </c>
      <c r="F68" s="562" t="s">
        <v>1</v>
      </c>
      <c r="G68" s="278" t="s">
        <v>0</v>
      </c>
      <c r="H68" s="562" t="s">
        <v>1</v>
      </c>
      <c r="I68" s="588" t="s">
        <v>0</v>
      </c>
      <c r="J68" s="589" t="s">
        <v>1</v>
      </c>
      <c r="K68" s="278" t="s">
        <v>0</v>
      </c>
      <c r="L68" s="562" t="s">
        <v>1</v>
      </c>
      <c r="M68" s="563" t="s">
        <v>0</v>
      </c>
      <c r="N68" s="562" t="s">
        <v>1</v>
      </c>
      <c r="O68" s="588" t="s">
        <v>0</v>
      </c>
      <c r="P68" s="740" t="s">
        <v>1</v>
      </c>
      <c r="Q68" s="278" t="s">
        <v>0</v>
      </c>
      <c r="R68" s="562" t="s">
        <v>1</v>
      </c>
      <c r="S68" s="588" t="s">
        <v>0</v>
      </c>
      <c r="T68" s="589" t="s">
        <v>1</v>
      </c>
      <c r="U68" s="563"/>
      <c r="W68" s="559" t="s">
        <v>5</v>
      </c>
      <c r="X68" s="560" t="s">
        <v>509</v>
      </c>
      <c r="Y68" s="561" t="s">
        <v>510</v>
      </c>
      <c r="Z68" s="278" t="s">
        <v>0</v>
      </c>
      <c r="AA68" s="562" t="s">
        <v>1</v>
      </c>
      <c r="AB68" s="278" t="s">
        <v>0</v>
      </c>
      <c r="AC68" s="562" t="s">
        <v>1</v>
      </c>
      <c r="AD68" s="588" t="s">
        <v>0</v>
      </c>
      <c r="AE68" s="589" t="s">
        <v>1</v>
      </c>
      <c r="AF68" s="278" t="s">
        <v>0</v>
      </c>
      <c r="AG68" s="562" t="s">
        <v>1</v>
      </c>
      <c r="AH68" s="563" t="s">
        <v>0</v>
      </c>
      <c r="AI68" s="562" t="s">
        <v>1</v>
      </c>
      <c r="AJ68" s="588" t="s">
        <v>0</v>
      </c>
      <c r="AK68" s="740" t="s">
        <v>1</v>
      </c>
      <c r="AL68" s="278" t="s">
        <v>0</v>
      </c>
      <c r="AM68" s="562" t="s">
        <v>1</v>
      </c>
      <c r="AN68" s="588" t="s">
        <v>0</v>
      </c>
      <c r="AO68" s="589" t="s">
        <v>1</v>
      </c>
    </row>
    <row r="69" spans="2:41" x14ac:dyDescent="0.3">
      <c r="B69" s="157" t="s">
        <v>511</v>
      </c>
      <c r="C69" s="564" t="s">
        <v>512</v>
      </c>
      <c r="D69" s="738">
        <v>2</v>
      </c>
      <c r="E69" s="565">
        <v>1300</v>
      </c>
      <c r="F69" s="456">
        <v>1400</v>
      </c>
      <c r="G69" s="566">
        <v>0.26</v>
      </c>
      <c r="H69" s="567">
        <v>0.39</v>
      </c>
      <c r="I69" s="565">
        <f>E69*(1-G69)</f>
        <v>962</v>
      </c>
      <c r="J69" s="554">
        <f>F69*(1-H69)</f>
        <v>854</v>
      </c>
      <c r="K69" s="565">
        <f>E69*G69</f>
        <v>338</v>
      </c>
      <c r="L69" s="456">
        <f>F69*H69</f>
        <v>546</v>
      </c>
      <c r="M69" s="564" t="s">
        <v>513</v>
      </c>
      <c r="N69" s="62" t="s">
        <v>400</v>
      </c>
      <c r="O69" s="586">
        <v>0</v>
      </c>
      <c r="P69" s="568">
        <v>10</v>
      </c>
      <c r="Q69" s="565">
        <f>I69*O69</f>
        <v>0</v>
      </c>
      <c r="R69" s="456">
        <f>J69*P69</f>
        <v>8540</v>
      </c>
      <c r="S69" s="565">
        <f>K69*O69</f>
        <v>0</v>
      </c>
      <c r="T69" s="456">
        <f>L69*P69</f>
        <v>5460</v>
      </c>
      <c r="U69" s="568"/>
      <c r="W69" s="157" t="s">
        <v>511</v>
      </c>
      <c r="X69" s="564" t="s">
        <v>512</v>
      </c>
      <c r="Y69" s="738">
        <v>2</v>
      </c>
      <c r="Z69" s="565">
        <v>2070</v>
      </c>
      <c r="AA69" s="456">
        <v>2470</v>
      </c>
      <c r="AB69" s="566">
        <v>0.26</v>
      </c>
      <c r="AC69" s="567">
        <v>0.39</v>
      </c>
      <c r="AD69" s="565">
        <f>Z69*(1-AB69)</f>
        <v>1531.8</v>
      </c>
      <c r="AE69" s="554">
        <f>AA69*(1-AC69)</f>
        <v>1506.7</v>
      </c>
      <c r="AF69" s="565">
        <f>Z69*AB69</f>
        <v>538.20000000000005</v>
      </c>
      <c r="AG69" s="456">
        <f>AA69*AC69</f>
        <v>963.30000000000007</v>
      </c>
      <c r="AH69" s="564" t="s">
        <v>400</v>
      </c>
      <c r="AI69" s="62" t="s">
        <v>401</v>
      </c>
      <c r="AJ69" s="586">
        <v>10</v>
      </c>
      <c r="AK69" s="568">
        <v>20</v>
      </c>
      <c r="AL69" s="565">
        <f>AD69*AJ69</f>
        <v>15318</v>
      </c>
      <c r="AM69" s="456">
        <f>AE69*AK69</f>
        <v>30134</v>
      </c>
      <c r="AN69" s="565">
        <f>AF69*AJ69</f>
        <v>5382</v>
      </c>
      <c r="AO69" s="456">
        <f>AG69*AK69</f>
        <v>19266</v>
      </c>
    </row>
    <row r="70" spans="2:41" x14ac:dyDescent="0.3">
      <c r="B70" s="158" t="s">
        <v>514</v>
      </c>
      <c r="C70" s="568" t="s">
        <v>515</v>
      </c>
      <c r="D70" s="161">
        <v>1</v>
      </c>
      <c r="E70" s="569">
        <v>40</v>
      </c>
      <c r="F70" s="570">
        <v>100</v>
      </c>
      <c r="G70" s="571">
        <v>0</v>
      </c>
      <c r="H70" s="572">
        <v>0.22</v>
      </c>
      <c r="I70" s="569">
        <f t="shared" ref="I70:I83" si="113">E70*(1-G70)</f>
        <v>40</v>
      </c>
      <c r="J70" s="553">
        <f t="shared" ref="J70:J83" si="114">F70*(1-H70)</f>
        <v>78</v>
      </c>
      <c r="K70" s="569">
        <f t="shared" ref="K70:K83" si="115">E70*G70</f>
        <v>0</v>
      </c>
      <c r="L70" s="570">
        <f t="shared" ref="L70:L83" si="116">F70*H70</f>
        <v>22</v>
      </c>
      <c r="M70" s="568" t="s">
        <v>400</v>
      </c>
      <c r="N70" s="573" t="s">
        <v>400</v>
      </c>
      <c r="O70" s="586">
        <v>10</v>
      </c>
      <c r="P70" s="568">
        <v>10</v>
      </c>
      <c r="Q70" s="569">
        <f t="shared" ref="Q70:Q83" si="117">I70*O70</f>
        <v>400</v>
      </c>
      <c r="R70" s="570">
        <f t="shared" ref="R70:R83" si="118">J70*P70</f>
        <v>780</v>
      </c>
      <c r="S70" s="569">
        <f t="shared" ref="S70:S83" si="119">K70*O70</f>
        <v>0</v>
      </c>
      <c r="T70" s="570">
        <f t="shared" ref="T70:T83" si="120">L70*P70</f>
        <v>220</v>
      </c>
      <c r="U70" s="568"/>
      <c r="W70" s="158" t="s">
        <v>514</v>
      </c>
      <c r="X70" s="568" t="s">
        <v>515</v>
      </c>
      <c r="Y70" s="161">
        <v>1</v>
      </c>
      <c r="Z70" s="569">
        <v>70</v>
      </c>
      <c r="AA70" s="570">
        <v>200</v>
      </c>
      <c r="AB70" s="571">
        <v>0</v>
      </c>
      <c r="AC70" s="572">
        <v>0.22</v>
      </c>
      <c r="AD70" s="569">
        <f t="shared" ref="AD70:AD83" si="121">Z70*(1-AB70)</f>
        <v>70</v>
      </c>
      <c r="AE70" s="553">
        <f t="shared" ref="AE70:AE83" si="122">AA70*(1-AC70)</f>
        <v>156</v>
      </c>
      <c r="AF70" s="569">
        <f t="shared" ref="AF70:AF83" si="123">Z70*AB70</f>
        <v>0</v>
      </c>
      <c r="AG70" s="570">
        <f t="shared" ref="AG70:AG83" si="124">AA70*AC70</f>
        <v>44</v>
      </c>
      <c r="AH70" s="568" t="s">
        <v>401</v>
      </c>
      <c r="AI70" s="573" t="s">
        <v>402</v>
      </c>
      <c r="AJ70" s="586">
        <v>20</v>
      </c>
      <c r="AK70" s="568">
        <v>35</v>
      </c>
      <c r="AL70" s="569">
        <f t="shared" ref="AL70:AL83" si="125">AD70*AJ70</f>
        <v>1400</v>
      </c>
      <c r="AM70" s="570">
        <f t="shared" ref="AM70:AM83" si="126">AE70*AK70</f>
        <v>5460</v>
      </c>
      <c r="AN70" s="569">
        <f t="shared" ref="AN70:AN83" si="127">AF70*AJ70</f>
        <v>0</v>
      </c>
      <c r="AO70" s="570">
        <f t="shared" ref="AO70:AO83" si="128">AG70*AK70</f>
        <v>1540</v>
      </c>
    </row>
    <row r="71" spans="2:41" x14ac:dyDescent="0.3">
      <c r="B71" s="158" t="s">
        <v>516</v>
      </c>
      <c r="C71" s="568" t="s">
        <v>512</v>
      </c>
      <c r="D71" s="161">
        <v>2</v>
      </c>
      <c r="E71" s="569">
        <v>1260</v>
      </c>
      <c r="F71" s="570">
        <v>1300</v>
      </c>
      <c r="G71" s="571">
        <v>0.26</v>
      </c>
      <c r="H71" s="572">
        <v>0.39</v>
      </c>
      <c r="I71" s="569">
        <f t="shared" si="113"/>
        <v>932.4</v>
      </c>
      <c r="J71" s="553">
        <f t="shared" si="114"/>
        <v>793</v>
      </c>
      <c r="K71" s="569">
        <f t="shared" si="115"/>
        <v>327.60000000000002</v>
      </c>
      <c r="L71" s="570">
        <f t="shared" si="116"/>
        <v>507</v>
      </c>
      <c r="M71" s="568" t="s">
        <v>399</v>
      </c>
      <c r="N71" s="573" t="s">
        <v>400</v>
      </c>
      <c r="O71" s="586">
        <v>0</v>
      </c>
      <c r="P71" s="568">
        <v>10</v>
      </c>
      <c r="Q71" s="569">
        <f t="shared" si="117"/>
        <v>0</v>
      </c>
      <c r="R71" s="570">
        <f t="shared" si="118"/>
        <v>7930</v>
      </c>
      <c r="S71" s="569">
        <f t="shared" si="119"/>
        <v>0</v>
      </c>
      <c r="T71" s="570">
        <f t="shared" si="120"/>
        <v>5070</v>
      </c>
      <c r="U71" s="568"/>
      <c r="W71" s="158" t="s">
        <v>516</v>
      </c>
      <c r="X71" s="568" t="s">
        <v>512</v>
      </c>
      <c r="Y71" s="161">
        <v>2</v>
      </c>
      <c r="Z71" s="569">
        <v>2000</v>
      </c>
      <c r="AA71" s="570">
        <v>2270</v>
      </c>
      <c r="AB71" s="571">
        <v>0.26</v>
      </c>
      <c r="AC71" s="572">
        <v>0.39</v>
      </c>
      <c r="AD71" s="569">
        <f t="shared" si="121"/>
        <v>1480</v>
      </c>
      <c r="AE71" s="553">
        <f t="shared" si="122"/>
        <v>1384.7</v>
      </c>
      <c r="AF71" s="569">
        <f t="shared" si="123"/>
        <v>520</v>
      </c>
      <c r="AG71" s="570">
        <f t="shared" si="124"/>
        <v>885.30000000000007</v>
      </c>
      <c r="AH71" s="568" t="s">
        <v>400</v>
      </c>
      <c r="AI71" s="573" t="s">
        <v>401</v>
      </c>
      <c r="AJ71" s="586">
        <v>10</v>
      </c>
      <c r="AK71" s="568">
        <v>20</v>
      </c>
      <c r="AL71" s="569">
        <f t="shared" si="125"/>
        <v>14800</v>
      </c>
      <c r="AM71" s="570">
        <f t="shared" si="126"/>
        <v>27694</v>
      </c>
      <c r="AN71" s="569">
        <f t="shared" si="127"/>
        <v>5200</v>
      </c>
      <c r="AO71" s="570">
        <f t="shared" si="128"/>
        <v>17706</v>
      </c>
    </row>
    <row r="72" spans="2:41" x14ac:dyDescent="0.3">
      <c r="B72" s="158" t="s">
        <v>517</v>
      </c>
      <c r="C72" s="568" t="s">
        <v>518</v>
      </c>
      <c r="D72" s="161">
        <v>1</v>
      </c>
      <c r="E72" s="569">
        <v>910</v>
      </c>
      <c r="F72" s="570">
        <v>710</v>
      </c>
      <c r="G72" s="571">
        <v>0.03</v>
      </c>
      <c r="H72" s="572">
        <v>0.05</v>
      </c>
      <c r="I72" s="569">
        <f t="shared" si="113"/>
        <v>882.69999999999993</v>
      </c>
      <c r="J72" s="553">
        <f t="shared" si="114"/>
        <v>674.5</v>
      </c>
      <c r="K72" s="569">
        <f t="shared" si="115"/>
        <v>27.3</v>
      </c>
      <c r="L72" s="570">
        <f t="shared" si="116"/>
        <v>35.5</v>
      </c>
      <c r="M72" s="568" t="s">
        <v>400</v>
      </c>
      <c r="N72" s="573" t="s">
        <v>400</v>
      </c>
      <c r="O72" s="586">
        <v>10</v>
      </c>
      <c r="P72" s="568">
        <v>10</v>
      </c>
      <c r="Q72" s="569">
        <f t="shared" si="117"/>
        <v>8827</v>
      </c>
      <c r="R72" s="570">
        <f t="shared" si="118"/>
        <v>6745</v>
      </c>
      <c r="S72" s="569">
        <f t="shared" si="119"/>
        <v>273</v>
      </c>
      <c r="T72" s="570">
        <f t="shared" si="120"/>
        <v>355</v>
      </c>
      <c r="U72" s="568"/>
      <c r="W72" s="158" t="s">
        <v>517</v>
      </c>
      <c r="X72" s="568" t="s">
        <v>518</v>
      </c>
      <c r="Y72" s="161">
        <v>1</v>
      </c>
      <c r="Z72" s="569">
        <v>1500</v>
      </c>
      <c r="AA72" s="570">
        <v>1250</v>
      </c>
      <c r="AB72" s="571">
        <v>0.03</v>
      </c>
      <c r="AC72" s="572">
        <v>0.05</v>
      </c>
      <c r="AD72" s="569">
        <f t="shared" si="121"/>
        <v>1455</v>
      </c>
      <c r="AE72" s="553">
        <f t="shared" si="122"/>
        <v>1187.5</v>
      </c>
      <c r="AF72" s="569">
        <f t="shared" si="123"/>
        <v>45</v>
      </c>
      <c r="AG72" s="570">
        <f t="shared" si="124"/>
        <v>62.5</v>
      </c>
      <c r="AH72" s="568" t="s">
        <v>401</v>
      </c>
      <c r="AI72" s="573" t="s">
        <v>401</v>
      </c>
      <c r="AJ72" s="586">
        <v>20</v>
      </c>
      <c r="AK72" s="568">
        <v>20</v>
      </c>
      <c r="AL72" s="569">
        <f t="shared" si="125"/>
        <v>29100</v>
      </c>
      <c r="AM72" s="570">
        <f t="shared" si="126"/>
        <v>23750</v>
      </c>
      <c r="AN72" s="569">
        <f t="shared" si="127"/>
        <v>900</v>
      </c>
      <c r="AO72" s="570">
        <f t="shared" si="128"/>
        <v>1250</v>
      </c>
    </row>
    <row r="73" spans="2:41" x14ac:dyDescent="0.3">
      <c r="B73" s="158" t="s">
        <v>519</v>
      </c>
      <c r="C73" s="568" t="s">
        <v>512</v>
      </c>
      <c r="D73" s="161">
        <v>3</v>
      </c>
      <c r="E73" s="569">
        <v>2170</v>
      </c>
      <c r="F73" s="570">
        <v>2010</v>
      </c>
      <c r="G73" s="571">
        <v>0.17</v>
      </c>
      <c r="H73" s="572">
        <v>0.28000000000000003</v>
      </c>
      <c r="I73" s="569">
        <f t="shared" si="113"/>
        <v>1801.1</v>
      </c>
      <c r="J73" s="553">
        <f t="shared" si="114"/>
        <v>1447.2</v>
      </c>
      <c r="K73" s="569">
        <f t="shared" si="115"/>
        <v>368.90000000000003</v>
      </c>
      <c r="L73" s="570">
        <f t="shared" si="116"/>
        <v>562.80000000000007</v>
      </c>
      <c r="M73" s="568" t="s">
        <v>400</v>
      </c>
      <c r="N73" s="573" t="s">
        <v>400</v>
      </c>
      <c r="O73" s="586">
        <v>10</v>
      </c>
      <c r="P73" s="568">
        <v>10</v>
      </c>
      <c r="Q73" s="569">
        <f t="shared" si="117"/>
        <v>18011</v>
      </c>
      <c r="R73" s="570">
        <f t="shared" si="118"/>
        <v>14472</v>
      </c>
      <c r="S73" s="569">
        <f t="shared" si="119"/>
        <v>3689.0000000000005</v>
      </c>
      <c r="T73" s="570">
        <f t="shared" si="120"/>
        <v>5628.0000000000009</v>
      </c>
      <c r="U73" s="568"/>
      <c r="W73" s="158" t="s">
        <v>519</v>
      </c>
      <c r="X73" s="568" t="s">
        <v>512</v>
      </c>
      <c r="Y73" s="161">
        <v>3</v>
      </c>
      <c r="Z73" s="569">
        <v>3500</v>
      </c>
      <c r="AA73" s="570">
        <v>3520</v>
      </c>
      <c r="AB73" s="571">
        <v>0.17</v>
      </c>
      <c r="AC73" s="572">
        <v>0.28000000000000003</v>
      </c>
      <c r="AD73" s="569">
        <f t="shared" si="121"/>
        <v>2905</v>
      </c>
      <c r="AE73" s="553">
        <f t="shared" si="122"/>
        <v>2534.4</v>
      </c>
      <c r="AF73" s="569">
        <f t="shared" si="123"/>
        <v>595</v>
      </c>
      <c r="AG73" s="570">
        <f t="shared" si="124"/>
        <v>985.60000000000014</v>
      </c>
      <c r="AH73" s="568" t="s">
        <v>401</v>
      </c>
      <c r="AI73" s="573" t="s">
        <v>401</v>
      </c>
      <c r="AJ73" s="586">
        <v>20</v>
      </c>
      <c r="AK73" s="568">
        <v>20</v>
      </c>
      <c r="AL73" s="569">
        <f t="shared" si="125"/>
        <v>58100</v>
      </c>
      <c r="AM73" s="570">
        <f t="shared" si="126"/>
        <v>50688</v>
      </c>
      <c r="AN73" s="569">
        <f t="shared" si="127"/>
        <v>11900</v>
      </c>
      <c r="AO73" s="570">
        <f t="shared" si="128"/>
        <v>19712.000000000004</v>
      </c>
    </row>
    <row r="74" spans="2:41" x14ac:dyDescent="0.3">
      <c r="B74" s="158" t="s">
        <v>520</v>
      </c>
      <c r="C74" s="568" t="s">
        <v>515</v>
      </c>
      <c r="D74" s="161">
        <v>1</v>
      </c>
      <c r="E74" s="569">
        <v>200</v>
      </c>
      <c r="F74" s="570">
        <v>400</v>
      </c>
      <c r="G74" s="571">
        <v>0</v>
      </c>
      <c r="H74" s="572">
        <v>0.02</v>
      </c>
      <c r="I74" s="569">
        <f t="shared" si="113"/>
        <v>200</v>
      </c>
      <c r="J74" s="553">
        <f t="shared" si="114"/>
        <v>392</v>
      </c>
      <c r="K74" s="569">
        <f t="shared" si="115"/>
        <v>0</v>
      </c>
      <c r="L74" s="570">
        <f t="shared" si="116"/>
        <v>8</v>
      </c>
      <c r="M74" s="568" t="s">
        <v>400</v>
      </c>
      <c r="N74" s="573" t="s">
        <v>400</v>
      </c>
      <c r="O74" s="586">
        <v>10</v>
      </c>
      <c r="P74" s="568">
        <v>10</v>
      </c>
      <c r="Q74" s="569">
        <f t="shared" si="117"/>
        <v>2000</v>
      </c>
      <c r="R74" s="570">
        <f t="shared" si="118"/>
        <v>3920</v>
      </c>
      <c r="S74" s="569">
        <f t="shared" si="119"/>
        <v>0</v>
      </c>
      <c r="T74" s="570">
        <f t="shared" si="120"/>
        <v>80</v>
      </c>
      <c r="U74" s="568"/>
      <c r="W74" s="158" t="s">
        <v>520</v>
      </c>
      <c r="X74" s="568" t="s">
        <v>515</v>
      </c>
      <c r="Y74" s="161">
        <v>1</v>
      </c>
      <c r="Z74" s="569">
        <v>350</v>
      </c>
      <c r="AA74" s="570">
        <v>750</v>
      </c>
      <c r="AB74" s="571">
        <v>0</v>
      </c>
      <c r="AC74" s="572">
        <v>0.02</v>
      </c>
      <c r="AD74" s="569">
        <f t="shared" si="121"/>
        <v>350</v>
      </c>
      <c r="AE74" s="553">
        <f t="shared" si="122"/>
        <v>735</v>
      </c>
      <c r="AF74" s="569">
        <f t="shared" si="123"/>
        <v>0</v>
      </c>
      <c r="AG74" s="570">
        <f t="shared" si="124"/>
        <v>15</v>
      </c>
      <c r="AH74" s="568" t="s">
        <v>401</v>
      </c>
      <c r="AI74" s="573" t="s">
        <v>401</v>
      </c>
      <c r="AJ74" s="586">
        <v>20</v>
      </c>
      <c r="AK74" s="568">
        <v>20</v>
      </c>
      <c r="AL74" s="569">
        <f t="shared" si="125"/>
        <v>7000</v>
      </c>
      <c r="AM74" s="570">
        <f t="shared" si="126"/>
        <v>14700</v>
      </c>
      <c r="AN74" s="569">
        <f t="shared" si="127"/>
        <v>0</v>
      </c>
      <c r="AO74" s="570">
        <f t="shared" si="128"/>
        <v>300</v>
      </c>
    </row>
    <row r="75" spans="2:41" x14ac:dyDescent="0.3">
      <c r="B75" s="158" t="s">
        <v>521</v>
      </c>
      <c r="C75" s="568" t="s">
        <v>512</v>
      </c>
      <c r="D75" s="161">
        <v>3</v>
      </c>
      <c r="E75" s="569">
        <v>1970</v>
      </c>
      <c r="F75" s="570">
        <v>1610</v>
      </c>
      <c r="G75" s="571">
        <v>0.18</v>
      </c>
      <c r="H75" s="572">
        <v>0.28999999999999998</v>
      </c>
      <c r="I75" s="569">
        <f t="shared" si="113"/>
        <v>1615.4</v>
      </c>
      <c r="J75" s="553">
        <f t="shared" si="114"/>
        <v>1143.0999999999999</v>
      </c>
      <c r="K75" s="569">
        <f t="shared" si="115"/>
        <v>354.59999999999997</v>
      </c>
      <c r="L75" s="570">
        <f t="shared" si="116"/>
        <v>466.9</v>
      </c>
      <c r="M75" s="568" t="s">
        <v>400</v>
      </c>
      <c r="N75" s="573" t="s">
        <v>399</v>
      </c>
      <c r="O75" s="586">
        <v>10</v>
      </c>
      <c r="P75" s="568">
        <v>0</v>
      </c>
      <c r="Q75" s="569">
        <f t="shared" si="117"/>
        <v>16154</v>
      </c>
      <c r="R75" s="570">
        <f t="shared" si="118"/>
        <v>0</v>
      </c>
      <c r="S75" s="569">
        <f t="shared" si="119"/>
        <v>3545.9999999999995</v>
      </c>
      <c r="T75" s="570">
        <f t="shared" si="120"/>
        <v>0</v>
      </c>
      <c r="U75" s="568"/>
      <c r="W75" s="158" t="s">
        <v>521</v>
      </c>
      <c r="X75" s="568" t="s">
        <v>512</v>
      </c>
      <c r="Y75" s="161">
        <v>3</v>
      </c>
      <c r="Z75" s="569">
        <v>3150</v>
      </c>
      <c r="AA75" s="570">
        <v>2770</v>
      </c>
      <c r="AB75" s="571">
        <v>0.18</v>
      </c>
      <c r="AC75" s="572">
        <v>0.28999999999999998</v>
      </c>
      <c r="AD75" s="569">
        <f t="shared" si="121"/>
        <v>2583</v>
      </c>
      <c r="AE75" s="553">
        <f t="shared" si="122"/>
        <v>1966.6999999999998</v>
      </c>
      <c r="AF75" s="569">
        <f t="shared" si="123"/>
        <v>567</v>
      </c>
      <c r="AG75" s="570">
        <f t="shared" si="124"/>
        <v>803.3</v>
      </c>
      <c r="AH75" s="568" t="s">
        <v>400</v>
      </c>
      <c r="AI75" s="573" t="s">
        <v>400</v>
      </c>
      <c r="AJ75" s="586">
        <v>10</v>
      </c>
      <c r="AK75" s="568">
        <v>10</v>
      </c>
      <c r="AL75" s="569">
        <f t="shared" si="125"/>
        <v>25830</v>
      </c>
      <c r="AM75" s="570">
        <f t="shared" si="126"/>
        <v>19667</v>
      </c>
      <c r="AN75" s="569">
        <f t="shared" si="127"/>
        <v>5670</v>
      </c>
      <c r="AO75" s="570">
        <f t="shared" si="128"/>
        <v>8033</v>
      </c>
    </row>
    <row r="76" spans="2:41" x14ac:dyDescent="0.3">
      <c r="B76" s="158" t="s">
        <v>522</v>
      </c>
      <c r="C76" s="568" t="s">
        <v>518</v>
      </c>
      <c r="D76" s="161">
        <v>1</v>
      </c>
      <c r="E76" s="569">
        <v>1600</v>
      </c>
      <c r="F76" s="570">
        <v>1200</v>
      </c>
      <c r="G76" s="571">
        <v>0.01</v>
      </c>
      <c r="H76" s="572">
        <v>0.03</v>
      </c>
      <c r="I76" s="569">
        <f t="shared" si="113"/>
        <v>1584</v>
      </c>
      <c r="J76" s="553">
        <f t="shared" si="114"/>
        <v>1164</v>
      </c>
      <c r="K76" s="569">
        <f t="shared" si="115"/>
        <v>16</v>
      </c>
      <c r="L76" s="570">
        <f t="shared" si="116"/>
        <v>36</v>
      </c>
      <c r="M76" s="568" t="s">
        <v>401</v>
      </c>
      <c r="N76" s="573" t="s">
        <v>400</v>
      </c>
      <c r="O76" s="586">
        <v>20</v>
      </c>
      <c r="P76" s="568">
        <v>10</v>
      </c>
      <c r="Q76" s="569">
        <f t="shared" si="117"/>
        <v>31680</v>
      </c>
      <c r="R76" s="570">
        <f t="shared" si="118"/>
        <v>11640</v>
      </c>
      <c r="S76" s="569">
        <f t="shared" si="119"/>
        <v>320</v>
      </c>
      <c r="T76" s="570">
        <f t="shared" si="120"/>
        <v>360</v>
      </c>
      <c r="U76" s="568"/>
      <c r="W76" s="158" t="s">
        <v>522</v>
      </c>
      <c r="X76" s="568" t="s">
        <v>518</v>
      </c>
      <c r="Y76" s="161">
        <v>1</v>
      </c>
      <c r="Z76" s="569">
        <v>1900</v>
      </c>
      <c r="AA76" s="570">
        <v>1700</v>
      </c>
      <c r="AB76" s="571">
        <v>0.01</v>
      </c>
      <c r="AC76" s="572">
        <v>0.03</v>
      </c>
      <c r="AD76" s="569">
        <f t="shared" si="121"/>
        <v>1881</v>
      </c>
      <c r="AE76" s="553">
        <f t="shared" si="122"/>
        <v>1649</v>
      </c>
      <c r="AF76" s="569">
        <f t="shared" si="123"/>
        <v>19</v>
      </c>
      <c r="AG76" s="570">
        <f t="shared" si="124"/>
        <v>51</v>
      </c>
      <c r="AH76" s="568" t="s">
        <v>402</v>
      </c>
      <c r="AI76" s="573" t="s">
        <v>402</v>
      </c>
      <c r="AJ76" s="586">
        <v>35</v>
      </c>
      <c r="AK76" s="568">
        <v>35</v>
      </c>
      <c r="AL76" s="569">
        <f t="shared" si="125"/>
        <v>65835</v>
      </c>
      <c r="AM76" s="570">
        <f t="shared" si="126"/>
        <v>57715</v>
      </c>
      <c r="AN76" s="569">
        <f t="shared" si="127"/>
        <v>665</v>
      </c>
      <c r="AO76" s="570">
        <f t="shared" si="128"/>
        <v>1785</v>
      </c>
    </row>
    <row r="77" spans="2:41" x14ac:dyDescent="0.3">
      <c r="B77" s="158" t="s">
        <v>523</v>
      </c>
      <c r="C77" s="568" t="s">
        <v>512</v>
      </c>
      <c r="D77" s="161">
        <v>3</v>
      </c>
      <c r="E77" s="569">
        <v>3570</v>
      </c>
      <c r="F77" s="570">
        <v>2810</v>
      </c>
      <c r="G77" s="571">
        <v>0.12</v>
      </c>
      <c r="H77" s="572">
        <v>0.22</v>
      </c>
      <c r="I77" s="569">
        <f t="shared" si="113"/>
        <v>3141.6</v>
      </c>
      <c r="J77" s="553">
        <f t="shared" si="114"/>
        <v>2191.8000000000002</v>
      </c>
      <c r="K77" s="569">
        <f t="shared" si="115"/>
        <v>428.4</v>
      </c>
      <c r="L77" s="570">
        <f t="shared" si="116"/>
        <v>618.20000000000005</v>
      </c>
      <c r="M77" s="568" t="s">
        <v>401</v>
      </c>
      <c r="N77" s="573" t="s">
        <v>400</v>
      </c>
      <c r="O77" s="586">
        <v>20</v>
      </c>
      <c r="P77" s="568">
        <v>10</v>
      </c>
      <c r="Q77" s="569">
        <f t="shared" si="117"/>
        <v>62832</v>
      </c>
      <c r="R77" s="570">
        <f t="shared" si="118"/>
        <v>21918</v>
      </c>
      <c r="S77" s="569">
        <f t="shared" si="119"/>
        <v>8568</v>
      </c>
      <c r="T77" s="570">
        <f t="shared" si="120"/>
        <v>6182</v>
      </c>
      <c r="U77" s="568"/>
      <c r="W77" s="158" t="s">
        <v>523</v>
      </c>
      <c r="X77" s="568" t="s">
        <v>512</v>
      </c>
      <c r="Y77" s="161">
        <v>3</v>
      </c>
      <c r="Z77" s="569">
        <v>5050</v>
      </c>
      <c r="AA77" s="570">
        <v>4470</v>
      </c>
      <c r="AB77" s="571">
        <v>0.12</v>
      </c>
      <c r="AC77" s="572">
        <v>0.22</v>
      </c>
      <c r="AD77" s="569">
        <f t="shared" si="121"/>
        <v>4444</v>
      </c>
      <c r="AE77" s="553">
        <f t="shared" si="122"/>
        <v>3486.6</v>
      </c>
      <c r="AF77" s="569">
        <f t="shared" si="123"/>
        <v>606</v>
      </c>
      <c r="AG77" s="570">
        <f t="shared" si="124"/>
        <v>983.4</v>
      </c>
      <c r="AH77" s="568" t="s">
        <v>402</v>
      </c>
      <c r="AI77" s="573" t="s">
        <v>402</v>
      </c>
      <c r="AJ77" s="586">
        <v>35</v>
      </c>
      <c r="AK77" s="568">
        <v>35</v>
      </c>
      <c r="AL77" s="569">
        <f t="shared" si="125"/>
        <v>155540</v>
      </c>
      <c r="AM77" s="570">
        <f t="shared" si="126"/>
        <v>122031</v>
      </c>
      <c r="AN77" s="569">
        <f t="shared" si="127"/>
        <v>21210</v>
      </c>
      <c r="AO77" s="570">
        <f t="shared" si="128"/>
        <v>34419</v>
      </c>
    </row>
    <row r="78" spans="2:41" x14ac:dyDescent="0.3">
      <c r="B78" s="158" t="s">
        <v>524</v>
      </c>
      <c r="C78" s="568" t="s">
        <v>515</v>
      </c>
      <c r="D78" s="161">
        <v>1</v>
      </c>
      <c r="E78" s="569">
        <v>350</v>
      </c>
      <c r="F78" s="570">
        <v>250</v>
      </c>
      <c r="G78" s="571">
        <v>0.38</v>
      </c>
      <c r="H78" s="572">
        <v>0.36</v>
      </c>
      <c r="I78" s="569">
        <f t="shared" si="113"/>
        <v>217</v>
      </c>
      <c r="J78" s="553">
        <f t="shared" si="114"/>
        <v>160</v>
      </c>
      <c r="K78" s="569">
        <f t="shared" si="115"/>
        <v>133</v>
      </c>
      <c r="L78" s="570">
        <f t="shared" si="116"/>
        <v>90</v>
      </c>
      <c r="M78" s="568" t="s">
        <v>401</v>
      </c>
      <c r="N78" s="573" t="s">
        <v>401</v>
      </c>
      <c r="O78" s="586">
        <v>20</v>
      </c>
      <c r="P78" s="568">
        <v>20</v>
      </c>
      <c r="Q78" s="569">
        <f t="shared" si="117"/>
        <v>4340</v>
      </c>
      <c r="R78" s="570">
        <f t="shared" si="118"/>
        <v>3200</v>
      </c>
      <c r="S78" s="569">
        <f t="shared" si="119"/>
        <v>2660</v>
      </c>
      <c r="T78" s="570">
        <f t="shared" si="120"/>
        <v>1800</v>
      </c>
      <c r="U78" s="568"/>
      <c r="W78" s="158" t="s">
        <v>524</v>
      </c>
      <c r="X78" s="568" t="s">
        <v>515</v>
      </c>
      <c r="Y78" s="161">
        <v>1</v>
      </c>
      <c r="Z78" s="569">
        <v>600</v>
      </c>
      <c r="AA78" s="570">
        <v>450</v>
      </c>
      <c r="AB78" s="571">
        <v>0.38</v>
      </c>
      <c r="AC78" s="572">
        <v>0.36</v>
      </c>
      <c r="AD78" s="569">
        <f t="shared" si="121"/>
        <v>372</v>
      </c>
      <c r="AE78" s="553">
        <f t="shared" si="122"/>
        <v>288</v>
      </c>
      <c r="AF78" s="569">
        <f t="shared" si="123"/>
        <v>228</v>
      </c>
      <c r="AG78" s="570">
        <f t="shared" si="124"/>
        <v>162</v>
      </c>
      <c r="AH78" s="568" t="s">
        <v>402</v>
      </c>
      <c r="AI78" s="573" t="s">
        <v>402</v>
      </c>
      <c r="AJ78" s="586">
        <v>35</v>
      </c>
      <c r="AK78" s="568">
        <v>35</v>
      </c>
      <c r="AL78" s="569">
        <f t="shared" si="125"/>
        <v>13020</v>
      </c>
      <c r="AM78" s="570">
        <f t="shared" si="126"/>
        <v>10080</v>
      </c>
      <c r="AN78" s="569">
        <f t="shared" si="127"/>
        <v>7980</v>
      </c>
      <c r="AO78" s="570">
        <f t="shared" si="128"/>
        <v>5670</v>
      </c>
    </row>
    <row r="79" spans="2:41" x14ac:dyDescent="0.3">
      <c r="B79" s="158" t="s">
        <v>525</v>
      </c>
      <c r="C79" s="568" t="s">
        <v>512</v>
      </c>
      <c r="D79" s="161">
        <v>3</v>
      </c>
      <c r="E79" s="569">
        <v>3220</v>
      </c>
      <c r="F79" s="570">
        <v>2560</v>
      </c>
      <c r="G79" s="571">
        <v>0.09</v>
      </c>
      <c r="H79" s="572">
        <v>0.21</v>
      </c>
      <c r="I79" s="569">
        <f t="shared" si="113"/>
        <v>2930.2000000000003</v>
      </c>
      <c r="J79" s="553">
        <f t="shared" si="114"/>
        <v>2022.4</v>
      </c>
      <c r="K79" s="569">
        <f t="shared" si="115"/>
        <v>289.8</v>
      </c>
      <c r="L79" s="570">
        <f t="shared" si="116"/>
        <v>537.6</v>
      </c>
      <c r="M79" s="568" t="s">
        <v>400</v>
      </c>
      <c r="N79" s="573" t="s">
        <v>400</v>
      </c>
      <c r="O79" s="586">
        <v>10</v>
      </c>
      <c r="P79" s="568">
        <v>10</v>
      </c>
      <c r="Q79" s="569">
        <f t="shared" si="117"/>
        <v>29302.000000000004</v>
      </c>
      <c r="R79" s="570">
        <f t="shared" si="118"/>
        <v>20224</v>
      </c>
      <c r="S79" s="569">
        <f t="shared" si="119"/>
        <v>2898</v>
      </c>
      <c r="T79" s="570">
        <f t="shared" si="120"/>
        <v>5376</v>
      </c>
      <c r="U79" s="568"/>
      <c r="W79" s="158" t="s">
        <v>525</v>
      </c>
      <c r="X79" s="568" t="s">
        <v>512</v>
      </c>
      <c r="Y79" s="161">
        <v>3</v>
      </c>
      <c r="Z79" s="569">
        <v>4450</v>
      </c>
      <c r="AA79" s="570">
        <v>4020</v>
      </c>
      <c r="AB79" s="571">
        <v>0.09</v>
      </c>
      <c r="AC79" s="572">
        <v>0.21</v>
      </c>
      <c r="AD79" s="569">
        <f t="shared" si="121"/>
        <v>4049.5</v>
      </c>
      <c r="AE79" s="553">
        <f t="shared" si="122"/>
        <v>3175.8</v>
      </c>
      <c r="AF79" s="569">
        <f t="shared" si="123"/>
        <v>400.5</v>
      </c>
      <c r="AG79" s="570">
        <f t="shared" si="124"/>
        <v>844.19999999999993</v>
      </c>
      <c r="AH79" s="568" t="s">
        <v>401</v>
      </c>
      <c r="AI79" s="573" t="s">
        <v>401</v>
      </c>
      <c r="AJ79" s="586">
        <v>20</v>
      </c>
      <c r="AK79" s="568">
        <v>20</v>
      </c>
      <c r="AL79" s="569">
        <f t="shared" si="125"/>
        <v>80990</v>
      </c>
      <c r="AM79" s="570">
        <f t="shared" si="126"/>
        <v>63516</v>
      </c>
      <c r="AN79" s="569">
        <f t="shared" si="127"/>
        <v>8010</v>
      </c>
      <c r="AO79" s="570">
        <f t="shared" si="128"/>
        <v>16884</v>
      </c>
    </row>
    <row r="80" spans="2:41" x14ac:dyDescent="0.3">
      <c r="B80" s="158" t="s">
        <v>526</v>
      </c>
      <c r="C80" s="568" t="s">
        <v>518</v>
      </c>
      <c r="D80" s="161">
        <v>1</v>
      </c>
      <c r="E80" s="569">
        <v>880</v>
      </c>
      <c r="F80" s="570">
        <v>675</v>
      </c>
      <c r="G80" s="571">
        <v>0.08</v>
      </c>
      <c r="H80" s="572">
        <v>0.03</v>
      </c>
      <c r="I80" s="569">
        <f t="shared" si="113"/>
        <v>809.6</v>
      </c>
      <c r="J80" s="553">
        <f t="shared" si="114"/>
        <v>654.75</v>
      </c>
      <c r="K80" s="569">
        <f t="shared" si="115"/>
        <v>70.400000000000006</v>
      </c>
      <c r="L80" s="570">
        <f t="shared" si="116"/>
        <v>20.25</v>
      </c>
      <c r="M80" s="568" t="s">
        <v>401</v>
      </c>
      <c r="N80" s="573" t="s">
        <v>401</v>
      </c>
      <c r="O80" s="586">
        <v>20</v>
      </c>
      <c r="P80" s="568">
        <v>20</v>
      </c>
      <c r="Q80" s="569">
        <f t="shared" si="117"/>
        <v>16192</v>
      </c>
      <c r="R80" s="570">
        <f t="shared" si="118"/>
        <v>13095</v>
      </c>
      <c r="S80" s="569">
        <f t="shared" si="119"/>
        <v>1408</v>
      </c>
      <c r="T80" s="570">
        <f t="shared" si="120"/>
        <v>405</v>
      </c>
      <c r="U80" s="568"/>
      <c r="W80" s="158" t="s">
        <v>526</v>
      </c>
      <c r="X80" s="568" t="s">
        <v>518</v>
      </c>
      <c r="Y80" s="161">
        <v>1</v>
      </c>
      <c r="Z80" s="569">
        <v>1050</v>
      </c>
      <c r="AA80" s="570">
        <v>920</v>
      </c>
      <c r="AB80" s="571">
        <v>0.08</v>
      </c>
      <c r="AC80" s="572">
        <v>0.03</v>
      </c>
      <c r="AD80" s="569">
        <f t="shared" si="121"/>
        <v>966</v>
      </c>
      <c r="AE80" s="553">
        <f t="shared" si="122"/>
        <v>892.4</v>
      </c>
      <c r="AF80" s="569">
        <f t="shared" si="123"/>
        <v>84</v>
      </c>
      <c r="AG80" s="570">
        <f t="shared" si="124"/>
        <v>27.599999999999998</v>
      </c>
      <c r="AH80" s="568" t="s">
        <v>403</v>
      </c>
      <c r="AI80" s="573" t="s">
        <v>402</v>
      </c>
      <c r="AJ80" s="586">
        <v>55</v>
      </c>
      <c r="AK80" s="568">
        <v>35</v>
      </c>
      <c r="AL80" s="569">
        <f t="shared" si="125"/>
        <v>53130</v>
      </c>
      <c r="AM80" s="570">
        <f t="shared" si="126"/>
        <v>31234</v>
      </c>
      <c r="AN80" s="569">
        <f t="shared" si="127"/>
        <v>4620</v>
      </c>
      <c r="AO80" s="570">
        <f t="shared" si="128"/>
        <v>965.99999999999989</v>
      </c>
    </row>
    <row r="81" spans="2:41" x14ac:dyDescent="0.3">
      <c r="B81" s="158" t="s">
        <v>527</v>
      </c>
      <c r="C81" s="568" t="s">
        <v>512</v>
      </c>
      <c r="D81" s="161">
        <v>3</v>
      </c>
      <c r="E81" s="569">
        <v>4100</v>
      </c>
      <c r="F81" s="570">
        <v>3235</v>
      </c>
      <c r="G81" s="571">
        <v>0.1</v>
      </c>
      <c r="H81" s="572">
        <v>0.18</v>
      </c>
      <c r="I81" s="569">
        <f t="shared" si="113"/>
        <v>3690</v>
      </c>
      <c r="J81" s="553">
        <f t="shared" si="114"/>
        <v>2652.7000000000003</v>
      </c>
      <c r="K81" s="569">
        <f t="shared" si="115"/>
        <v>410</v>
      </c>
      <c r="L81" s="570">
        <f t="shared" si="116"/>
        <v>582.29999999999995</v>
      </c>
      <c r="M81" s="568" t="s">
        <v>402</v>
      </c>
      <c r="N81" s="573" t="s">
        <v>401</v>
      </c>
      <c r="O81" s="586">
        <v>35</v>
      </c>
      <c r="P81" s="568">
        <v>20</v>
      </c>
      <c r="Q81" s="569">
        <f t="shared" si="117"/>
        <v>129150</v>
      </c>
      <c r="R81" s="570">
        <f t="shared" si="118"/>
        <v>53054.000000000007</v>
      </c>
      <c r="S81" s="569">
        <f t="shared" si="119"/>
        <v>14350</v>
      </c>
      <c r="T81" s="570">
        <f t="shared" si="120"/>
        <v>11646</v>
      </c>
      <c r="U81" s="568"/>
      <c r="W81" s="158" t="s">
        <v>527</v>
      </c>
      <c r="X81" s="568" t="s">
        <v>512</v>
      </c>
      <c r="Y81" s="161">
        <v>3</v>
      </c>
      <c r="Z81" s="569">
        <v>5500</v>
      </c>
      <c r="AA81" s="570">
        <v>4940</v>
      </c>
      <c r="AB81" s="571">
        <v>0.1</v>
      </c>
      <c r="AC81" s="572">
        <v>0.18</v>
      </c>
      <c r="AD81" s="569">
        <f t="shared" si="121"/>
        <v>4950</v>
      </c>
      <c r="AE81" s="553">
        <f t="shared" si="122"/>
        <v>4050.8</v>
      </c>
      <c r="AF81" s="569">
        <f t="shared" si="123"/>
        <v>550</v>
      </c>
      <c r="AG81" s="570">
        <f t="shared" si="124"/>
        <v>889.19999999999993</v>
      </c>
      <c r="AH81" s="568" t="s">
        <v>403</v>
      </c>
      <c r="AI81" s="573" t="s">
        <v>403</v>
      </c>
      <c r="AJ81" s="586">
        <v>55</v>
      </c>
      <c r="AK81" s="568">
        <v>55</v>
      </c>
      <c r="AL81" s="569">
        <f t="shared" si="125"/>
        <v>272250</v>
      </c>
      <c r="AM81" s="570">
        <f t="shared" si="126"/>
        <v>222794</v>
      </c>
      <c r="AN81" s="569">
        <f t="shared" si="127"/>
        <v>30250</v>
      </c>
      <c r="AO81" s="570">
        <f t="shared" si="128"/>
        <v>48905.999999999993</v>
      </c>
    </row>
    <row r="82" spans="2:41" x14ac:dyDescent="0.3">
      <c r="B82" s="158" t="s">
        <v>528</v>
      </c>
      <c r="C82" s="568" t="s">
        <v>515</v>
      </c>
      <c r="D82" s="161">
        <v>1</v>
      </c>
      <c r="E82" s="569">
        <v>700</v>
      </c>
      <c r="F82" s="570">
        <v>750</v>
      </c>
      <c r="G82" s="571">
        <v>0.01</v>
      </c>
      <c r="H82" s="572">
        <v>0.01</v>
      </c>
      <c r="I82" s="569">
        <f t="shared" si="113"/>
        <v>693</v>
      </c>
      <c r="J82" s="553">
        <f t="shared" si="114"/>
        <v>742.5</v>
      </c>
      <c r="K82" s="569">
        <f t="shared" si="115"/>
        <v>7</v>
      </c>
      <c r="L82" s="570">
        <f t="shared" si="116"/>
        <v>7.5</v>
      </c>
      <c r="M82" s="568" t="s">
        <v>402</v>
      </c>
      <c r="N82" s="573" t="s">
        <v>401</v>
      </c>
      <c r="O82" s="586">
        <v>35</v>
      </c>
      <c r="P82" s="568">
        <v>20</v>
      </c>
      <c r="Q82" s="569">
        <f t="shared" si="117"/>
        <v>24255</v>
      </c>
      <c r="R82" s="570">
        <f t="shared" si="118"/>
        <v>14850</v>
      </c>
      <c r="S82" s="569">
        <f t="shared" si="119"/>
        <v>245</v>
      </c>
      <c r="T82" s="570">
        <f t="shared" si="120"/>
        <v>150</v>
      </c>
      <c r="U82" s="568"/>
      <c r="W82" s="158" t="s">
        <v>528</v>
      </c>
      <c r="X82" s="568" t="s">
        <v>515</v>
      </c>
      <c r="Y82" s="161">
        <v>1</v>
      </c>
      <c r="Z82" s="569">
        <v>1000</v>
      </c>
      <c r="AA82" s="570">
        <v>1100</v>
      </c>
      <c r="AB82" s="571">
        <v>0.01</v>
      </c>
      <c r="AC82" s="572">
        <v>0.01</v>
      </c>
      <c r="AD82" s="569">
        <f t="shared" si="121"/>
        <v>990</v>
      </c>
      <c r="AE82" s="553">
        <f t="shared" si="122"/>
        <v>1089</v>
      </c>
      <c r="AF82" s="569">
        <f t="shared" si="123"/>
        <v>10</v>
      </c>
      <c r="AG82" s="570">
        <f t="shared" si="124"/>
        <v>11</v>
      </c>
      <c r="AH82" s="568" t="s">
        <v>403</v>
      </c>
      <c r="AI82" s="573" t="s">
        <v>403</v>
      </c>
      <c r="AJ82" s="586">
        <v>55</v>
      </c>
      <c r="AK82" s="568">
        <v>55</v>
      </c>
      <c r="AL82" s="569">
        <f t="shared" si="125"/>
        <v>54450</v>
      </c>
      <c r="AM82" s="570">
        <f t="shared" si="126"/>
        <v>59895</v>
      </c>
      <c r="AN82" s="569">
        <f t="shared" si="127"/>
        <v>550</v>
      </c>
      <c r="AO82" s="570">
        <f t="shared" si="128"/>
        <v>605</v>
      </c>
    </row>
    <row r="83" spans="2:41" x14ac:dyDescent="0.3">
      <c r="B83" s="159" t="s">
        <v>529</v>
      </c>
      <c r="C83" s="574" t="s">
        <v>512</v>
      </c>
      <c r="D83" s="526">
        <v>3</v>
      </c>
      <c r="E83" s="575">
        <v>3400</v>
      </c>
      <c r="F83" s="452">
        <v>2485</v>
      </c>
      <c r="G83" s="576">
        <v>0.08</v>
      </c>
      <c r="H83" s="577">
        <v>0.23</v>
      </c>
      <c r="I83" s="575">
        <f t="shared" si="113"/>
        <v>3128</v>
      </c>
      <c r="J83" s="555">
        <f t="shared" si="114"/>
        <v>1913.45</v>
      </c>
      <c r="K83" s="575">
        <f t="shared" si="115"/>
        <v>272</v>
      </c>
      <c r="L83" s="452">
        <f t="shared" si="116"/>
        <v>571.55000000000007</v>
      </c>
      <c r="M83" s="574" t="s">
        <v>401</v>
      </c>
      <c r="N83" s="578" t="s">
        <v>400</v>
      </c>
      <c r="O83" s="587">
        <v>20</v>
      </c>
      <c r="P83" s="574">
        <v>10</v>
      </c>
      <c r="Q83" s="569">
        <f t="shared" si="117"/>
        <v>62560</v>
      </c>
      <c r="R83" s="570">
        <f t="shared" si="118"/>
        <v>19134.5</v>
      </c>
      <c r="S83" s="575">
        <f t="shared" si="119"/>
        <v>5440</v>
      </c>
      <c r="T83" s="452">
        <f t="shared" si="120"/>
        <v>5715.5000000000009</v>
      </c>
      <c r="U83" s="568"/>
      <c r="W83" s="159" t="s">
        <v>529</v>
      </c>
      <c r="X83" s="574" t="s">
        <v>512</v>
      </c>
      <c r="Y83" s="526">
        <v>3</v>
      </c>
      <c r="Z83" s="575">
        <v>4500</v>
      </c>
      <c r="AA83" s="452">
        <v>3840</v>
      </c>
      <c r="AB83" s="576">
        <v>0.08</v>
      </c>
      <c r="AC83" s="577">
        <v>0.23</v>
      </c>
      <c r="AD83" s="575">
        <f t="shared" si="121"/>
        <v>4140</v>
      </c>
      <c r="AE83" s="555">
        <f t="shared" si="122"/>
        <v>2956.8</v>
      </c>
      <c r="AF83" s="575">
        <f t="shared" si="123"/>
        <v>360</v>
      </c>
      <c r="AG83" s="452">
        <f t="shared" si="124"/>
        <v>883.2</v>
      </c>
      <c r="AH83" s="574" t="s">
        <v>401</v>
      </c>
      <c r="AI83" s="578" t="s">
        <v>401</v>
      </c>
      <c r="AJ83" s="587">
        <v>20</v>
      </c>
      <c r="AK83" s="574">
        <v>20</v>
      </c>
      <c r="AL83" s="569">
        <f t="shared" si="125"/>
        <v>82800</v>
      </c>
      <c r="AM83" s="570">
        <f t="shared" si="126"/>
        <v>59136</v>
      </c>
      <c r="AN83" s="575">
        <f t="shared" si="127"/>
        <v>7200</v>
      </c>
      <c r="AO83" s="452">
        <f t="shared" si="128"/>
        <v>17664</v>
      </c>
    </row>
    <row r="84" spans="2:41" x14ac:dyDescent="0.3">
      <c r="D84" s="752" t="s">
        <v>93</v>
      </c>
      <c r="E84" s="747">
        <f>SUM(E69:E83)</f>
        <v>25670</v>
      </c>
      <c r="F84" s="748">
        <f>SUM(F69:F83)</f>
        <v>21495</v>
      </c>
      <c r="I84" s="746">
        <f>SUM(I69:I83)</f>
        <v>22627</v>
      </c>
      <c r="J84" s="747">
        <f>SUM(J69:J83)</f>
        <v>16883.399999999998</v>
      </c>
      <c r="K84" s="746">
        <f>SUM(K69:K83)</f>
        <v>3043</v>
      </c>
      <c r="L84" s="748">
        <f>SUM(L69:L83)</f>
        <v>4611.6000000000004</v>
      </c>
      <c r="P84" s="752" t="s">
        <v>93</v>
      </c>
      <c r="Q84" s="746">
        <f>SUM(Q69:Q83)</f>
        <v>405703</v>
      </c>
      <c r="R84" s="748">
        <f>SUM(R69:R83)</f>
        <v>199502.5</v>
      </c>
      <c r="S84" s="746">
        <f>SUM(S69:S83)</f>
        <v>43397</v>
      </c>
      <c r="T84" s="748">
        <f>SUM(T69:T83)</f>
        <v>48447.5</v>
      </c>
      <c r="Y84" s="752" t="s">
        <v>93</v>
      </c>
      <c r="Z84" s="746">
        <f>SUM(Z69:Z83)</f>
        <v>36690</v>
      </c>
      <c r="AA84" s="748">
        <f>SUM(AA69:AA83)</f>
        <v>34670</v>
      </c>
      <c r="AD84" s="746">
        <f>SUM(AD69:AD83)</f>
        <v>32167.3</v>
      </c>
      <c r="AE84" s="747">
        <f>SUM(AE69:AE83)</f>
        <v>27059.4</v>
      </c>
      <c r="AF84" s="746">
        <f>SUM(AF69:AF83)</f>
        <v>4522.7</v>
      </c>
      <c r="AG84" s="748">
        <f>SUM(AG69:AG83)</f>
        <v>7610.5999999999995</v>
      </c>
      <c r="AK84" s="736" t="s">
        <v>93</v>
      </c>
      <c r="AL84" s="746">
        <f>SUM(AL69:AL83)</f>
        <v>929563</v>
      </c>
      <c r="AM84" s="748">
        <f>SUM(AM69:AM83)</f>
        <v>798494</v>
      </c>
      <c r="AN84" s="746">
        <f>SUM(AN69:AN83)</f>
        <v>109537</v>
      </c>
      <c r="AO84" s="748">
        <f>SUM(AO69:AO83)</f>
        <v>194706</v>
      </c>
    </row>
    <row r="85" spans="2:41" s="122" customFormat="1" x14ac:dyDescent="0.3">
      <c r="D85" s="563"/>
      <c r="E85" s="625"/>
      <c r="F85" s="625"/>
      <c r="P85" s="744"/>
      <c r="Q85" s="744"/>
      <c r="R85" s="744"/>
      <c r="S85" s="745"/>
      <c r="T85" s="745"/>
      <c r="Y85" s="563"/>
      <c r="Z85" s="625"/>
      <c r="AA85" s="625"/>
      <c r="AK85" s="744"/>
      <c r="AL85" s="744"/>
      <c r="AM85" s="744"/>
      <c r="AN85" s="745"/>
      <c r="AO85" s="745"/>
    </row>
    <row r="86" spans="2:41" ht="18" x14ac:dyDescent="0.35">
      <c r="B86" s="446" t="s">
        <v>547</v>
      </c>
      <c r="W86" s="446" t="s">
        <v>548</v>
      </c>
      <c r="Y86" s="1"/>
    </row>
    <row r="87" spans="2:41" ht="15.6" x14ac:dyDescent="0.3">
      <c r="B87" s="556" t="s">
        <v>530</v>
      </c>
      <c r="P87" s="560"/>
      <c r="Q87" s="560"/>
      <c r="R87" s="560"/>
      <c r="S87" s="560"/>
      <c r="T87" s="560"/>
      <c r="U87" s="560"/>
      <c r="W87" s="556" t="s">
        <v>531</v>
      </c>
      <c r="Y87" s="1"/>
    </row>
    <row r="88" spans="2:41" ht="28.2" customHeight="1" x14ac:dyDescent="0.3">
      <c r="B88" s="557"/>
      <c r="C88" s="558"/>
      <c r="D88" s="101"/>
      <c r="E88" s="787" t="s">
        <v>506</v>
      </c>
      <c r="F88" s="788"/>
      <c r="G88" s="787" t="s">
        <v>507</v>
      </c>
      <c r="H88" s="788"/>
      <c r="I88" s="789" t="s">
        <v>653</v>
      </c>
      <c r="J88" s="785"/>
      <c r="K88" s="789" t="s">
        <v>654</v>
      </c>
      <c r="L88" s="786"/>
      <c r="M88" s="785" t="s">
        <v>508</v>
      </c>
      <c r="N88" s="786"/>
      <c r="O88" s="789" t="s">
        <v>549</v>
      </c>
      <c r="P88" s="785"/>
      <c r="Q88" s="789" t="s">
        <v>655</v>
      </c>
      <c r="R88" s="785"/>
      <c r="S88" s="789" t="s">
        <v>656</v>
      </c>
      <c r="T88" s="786"/>
      <c r="U88" s="563"/>
      <c r="W88" s="557"/>
      <c r="X88" s="558"/>
      <c r="Y88" s="101"/>
      <c r="Z88" s="787" t="s">
        <v>506</v>
      </c>
      <c r="AA88" s="788"/>
      <c r="AB88" s="787" t="s">
        <v>507</v>
      </c>
      <c r="AC88" s="788"/>
      <c r="AD88" s="789" t="s">
        <v>653</v>
      </c>
      <c r="AE88" s="785"/>
      <c r="AF88" s="789" t="s">
        <v>654</v>
      </c>
      <c r="AG88" s="786"/>
      <c r="AH88" s="785" t="s">
        <v>508</v>
      </c>
      <c r="AI88" s="786"/>
      <c r="AJ88" s="789" t="s">
        <v>549</v>
      </c>
      <c r="AK88" s="785"/>
      <c r="AL88" s="789" t="s">
        <v>655</v>
      </c>
      <c r="AM88" s="785"/>
      <c r="AN88" s="789" t="s">
        <v>656</v>
      </c>
      <c r="AO88" s="786"/>
    </row>
    <row r="89" spans="2:41" ht="28.8" x14ac:dyDescent="0.3">
      <c r="B89" s="559" t="s">
        <v>5</v>
      </c>
      <c r="C89" s="560" t="s">
        <v>509</v>
      </c>
      <c r="D89" s="561" t="s">
        <v>510</v>
      </c>
      <c r="E89" s="278" t="s">
        <v>0</v>
      </c>
      <c r="F89" s="562" t="s">
        <v>1</v>
      </c>
      <c r="G89" s="278" t="s">
        <v>0</v>
      </c>
      <c r="H89" s="562" t="s">
        <v>1</v>
      </c>
      <c r="I89" s="278" t="s">
        <v>0</v>
      </c>
      <c r="J89" s="563" t="s">
        <v>1</v>
      </c>
      <c r="K89" s="278" t="s">
        <v>0</v>
      </c>
      <c r="L89" s="562" t="s">
        <v>1</v>
      </c>
      <c r="M89" s="563" t="s">
        <v>0</v>
      </c>
      <c r="N89" s="562" t="s">
        <v>1</v>
      </c>
      <c r="O89" s="588" t="s">
        <v>0</v>
      </c>
      <c r="P89" s="740" t="s">
        <v>1</v>
      </c>
      <c r="Q89" s="278" t="s">
        <v>0</v>
      </c>
      <c r="R89" s="563" t="s">
        <v>1</v>
      </c>
      <c r="S89" s="278" t="s">
        <v>0</v>
      </c>
      <c r="T89" s="562" t="s">
        <v>1</v>
      </c>
      <c r="U89" s="568"/>
      <c r="W89" s="559" t="s">
        <v>5</v>
      </c>
      <c r="X89" s="560" t="s">
        <v>509</v>
      </c>
      <c r="Y89" s="561" t="s">
        <v>510</v>
      </c>
      <c r="Z89" s="278" t="s">
        <v>0</v>
      </c>
      <c r="AA89" s="562" t="s">
        <v>1</v>
      </c>
      <c r="AB89" s="278" t="s">
        <v>0</v>
      </c>
      <c r="AC89" s="562" t="s">
        <v>1</v>
      </c>
      <c r="AD89" s="278" t="s">
        <v>0</v>
      </c>
      <c r="AE89" s="563" t="s">
        <v>1</v>
      </c>
      <c r="AF89" s="278" t="s">
        <v>0</v>
      </c>
      <c r="AG89" s="562" t="s">
        <v>1</v>
      </c>
      <c r="AH89" s="563" t="s">
        <v>0</v>
      </c>
      <c r="AI89" s="562" t="s">
        <v>1</v>
      </c>
      <c r="AJ89" s="588" t="s">
        <v>0</v>
      </c>
      <c r="AK89" s="740" t="s">
        <v>1</v>
      </c>
      <c r="AL89" s="278" t="s">
        <v>0</v>
      </c>
      <c r="AM89" s="563" t="s">
        <v>1</v>
      </c>
      <c r="AN89" s="278" t="s">
        <v>0</v>
      </c>
      <c r="AO89" s="562" t="s">
        <v>1</v>
      </c>
    </row>
    <row r="90" spans="2:41" x14ac:dyDescent="0.3">
      <c r="B90" s="157" t="s">
        <v>529</v>
      </c>
      <c r="C90" s="564" t="s">
        <v>512</v>
      </c>
      <c r="D90" s="738">
        <v>3</v>
      </c>
      <c r="E90" s="565">
        <v>1820</v>
      </c>
      <c r="F90" s="456">
        <v>3610</v>
      </c>
      <c r="G90" s="566">
        <v>0.19</v>
      </c>
      <c r="H90" s="741">
        <v>0.17</v>
      </c>
      <c r="I90" s="565">
        <f>E90*(1-G90)</f>
        <v>1474.2</v>
      </c>
      <c r="J90" s="554">
        <f>F90*(1-H90)</f>
        <v>2996.2999999999997</v>
      </c>
      <c r="K90" s="565">
        <f>E90*G90</f>
        <v>345.8</v>
      </c>
      <c r="L90" s="456">
        <f>F90*H90</f>
        <v>613.70000000000005</v>
      </c>
      <c r="M90" s="564" t="s">
        <v>399</v>
      </c>
      <c r="N90" s="62" t="s">
        <v>401</v>
      </c>
      <c r="O90" s="585">
        <v>0</v>
      </c>
      <c r="P90" s="564">
        <v>20</v>
      </c>
      <c r="Q90" s="565">
        <f>I90*O90</f>
        <v>0</v>
      </c>
      <c r="R90" s="554">
        <f>J90*P90</f>
        <v>59925.999999999993</v>
      </c>
      <c r="S90" s="565">
        <f>K90*O90</f>
        <v>0</v>
      </c>
      <c r="T90" s="456">
        <f>L90*P90</f>
        <v>12274</v>
      </c>
      <c r="U90" s="568"/>
      <c r="W90" s="157" t="s">
        <v>529</v>
      </c>
      <c r="X90" s="564" t="s">
        <v>512</v>
      </c>
      <c r="Y90" s="738">
        <v>3</v>
      </c>
      <c r="Z90" s="565">
        <v>2550</v>
      </c>
      <c r="AA90" s="456">
        <v>4950</v>
      </c>
      <c r="AB90" s="566">
        <v>0.19</v>
      </c>
      <c r="AC90" s="567">
        <v>0.17</v>
      </c>
      <c r="AD90" s="565">
        <f>Z90*(1-AB90)</f>
        <v>2065.5</v>
      </c>
      <c r="AE90" s="554">
        <f>AA90*(1-AC90)</f>
        <v>4108.5</v>
      </c>
      <c r="AF90" s="565">
        <f>Z90*AB90</f>
        <v>484.5</v>
      </c>
      <c r="AG90" s="456">
        <f>AA90*AC90</f>
        <v>841.50000000000011</v>
      </c>
      <c r="AH90" s="564" t="s">
        <v>400</v>
      </c>
      <c r="AI90" s="62" t="s">
        <v>402</v>
      </c>
      <c r="AJ90" s="585">
        <v>10</v>
      </c>
      <c r="AK90" s="62">
        <v>35</v>
      </c>
      <c r="AL90" s="565">
        <f>AD90*AJ90</f>
        <v>20655</v>
      </c>
      <c r="AM90" s="554">
        <f>AE90*AK90</f>
        <v>143797.5</v>
      </c>
      <c r="AN90" s="565">
        <f>AF90*AJ90</f>
        <v>4845</v>
      </c>
      <c r="AO90" s="456">
        <f>AG90*AK90</f>
        <v>29452.500000000004</v>
      </c>
    </row>
    <row r="91" spans="2:41" x14ac:dyDescent="0.3">
      <c r="B91" s="158" t="s">
        <v>532</v>
      </c>
      <c r="C91" s="568" t="s">
        <v>518</v>
      </c>
      <c r="D91" s="161">
        <v>1</v>
      </c>
      <c r="E91" s="569">
        <v>300</v>
      </c>
      <c r="F91" s="570">
        <v>500</v>
      </c>
      <c r="G91" s="571">
        <v>0.01</v>
      </c>
      <c r="H91" s="552">
        <v>0</v>
      </c>
      <c r="I91" s="569">
        <f t="shared" ref="I91:I105" si="129">E91*(1-G91)</f>
        <v>297</v>
      </c>
      <c r="J91" s="553">
        <f t="shared" ref="J91:J105" si="130">F91*(1-H91)</f>
        <v>500</v>
      </c>
      <c r="K91" s="569">
        <f t="shared" ref="K91:K105" si="131">E91*G91</f>
        <v>3</v>
      </c>
      <c r="L91" s="570">
        <f t="shared" ref="L91:L105" si="132">F91*H91</f>
        <v>0</v>
      </c>
      <c r="M91" s="568" t="s">
        <v>400</v>
      </c>
      <c r="N91" s="573" t="s">
        <v>401</v>
      </c>
      <c r="O91" s="586">
        <v>10</v>
      </c>
      <c r="P91" s="568">
        <v>20</v>
      </c>
      <c r="Q91" s="569">
        <f t="shared" ref="Q91:Q105" si="133">I91*O91</f>
        <v>2970</v>
      </c>
      <c r="R91" s="553">
        <f t="shared" ref="R91:R105" si="134">J91*P91</f>
        <v>10000</v>
      </c>
      <c r="S91" s="569">
        <f t="shared" ref="S91:S105" si="135">K91*O91</f>
        <v>30</v>
      </c>
      <c r="T91" s="570">
        <f t="shared" ref="T91:T105" si="136">L91*P91</f>
        <v>0</v>
      </c>
      <c r="U91" s="568"/>
      <c r="W91" s="158" t="s">
        <v>532</v>
      </c>
      <c r="X91" s="568" t="s">
        <v>518</v>
      </c>
      <c r="Y91" s="161">
        <v>1</v>
      </c>
      <c r="Z91" s="569">
        <v>450</v>
      </c>
      <c r="AA91" s="570">
        <v>750</v>
      </c>
      <c r="AB91" s="571">
        <v>0.01</v>
      </c>
      <c r="AC91" s="572">
        <v>0</v>
      </c>
      <c r="AD91" s="569">
        <f t="shared" ref="AD91:AD106" si="137">Z91*(1-AB91)</f>
        <v>445.5</v>
      </c>
      <c r="AE91" s="553">
        <f t="shared" ref="AE91:AE106" si="138">AA91*(1-AC91)</f>
        <v>750</v>
      </c>
      <c r="AF91" s="569">
        <f t="shared" ref="AF91:AF106" si="139">Z91*AB91</f>
        <v>4.5</v>
      </c>
      <c r="AG91" s="570">
        <f t="shared" ref="AG91:AG106" si="140">AA91*AC91</f>
        <v>0</v>
      </c>
      <c r="AH91" s="568" t="s">
        <v>400</v>
      </c>
      <c r="AI91" s="573" t="s">
        <v>402</v>
      </c>
      <c r="AJ91" s="586">
        <v>10</v>
      </c>
      <c r="AK91" s="573">
        <v>35</v>
      </c>
      <c r="AL91" s="569">
        <f t="shared" ref="AL91:AL106" si="141">AD91*AJ91</f>
        <v>4455</v>
      </c>
      <c r="AM91" s="553">
        <f t="shared" ref="AM91:AM106" si="142">AE91*AK91</f>
        <v>26250</v>
      </c>
      <c r="AN91" s="569">
        <f t="shared" ref="AN91:AN106" si="143">AF91*AJ91</f>
        <v>45</v>
      </c>
      <c r="AO91" s="570">
        <f t="shared" ref="AO91:AO106" si="144">AG91*AK91</f>
        <v>0</v>
      </c>
    </row>
    <row r="92" spans="2:41" x14ac:dyDescent="0.3">
      <c r="B92" s="158" t="s">
        <v>533</v>
      </c>
      <c r="C92" s="568" t="s">
        <v>512</v>
      </c>
      <c r="D92" s="161">
        <v>3</v>
      </c>
      <c r="E92" s="569">
        <v>2120</v>
      </c>
      <c r="F92" s="570">
        <v>4110</v>
      </c>
      <c r="G92" s="571">
        <v>0.16</v>
      </c>
      <c r="H92" s="552">
        <v>0.15</v>
      </c>
      <c r="I92" s="569">
        <f t="shared" si="129"/>
        <v>1780.8</v>
      </c>
      <c r="J92" s="553">
        <f t="shared" si="130"/>
        <v>3493.5</v>
      </c>
      <c r="K92" s="569">
        <f t="shared" si="131"/>
        <v>339.2</v>
      </c>
      <c r="L92" s="570">
        <f t="shared" si="132"/>
        <v>616.5</v>
      </c>
      <c r="M92" s="568" t="s">
        <v>400</v>
      </c>
      <c r="N92" s="573" t="s">
        <v>402</v>
      </c>
      <c r="O92" s="586">
        <v>10</v>
      </c>
      <c r="P92" s="568">
        <v>35</v>
      </c>
      <c r="Q92" s="569">
        <f t="shared" si="133"/>
        <v>17808</v>
      </c>
      <c r="R92" s="553">
        <f t="shared" si="134"/>
        <v>122272.5</v>
      </c>
      <c r="S92" s="569">
        <f t="shared" si="135"/>
        <v>3392</v>
      </c>
      <c r="T92" s="570">
        <f t="shared" si="136"/>
        <v>21577.5</v>
      </c>
      <c r="U92" s="568"/>
      <c r="W92" s="158" t="s">
        <v>533</v>
      </c>
      <c r="X92" s="568" t="s">
        <v>512</v>
      </c>
      <c r="Y92" s="161">
        <v>3</v>
      </c>
      <c r="Z92" s="569">
        <v>3000</v>
      </c>
      <c r="AA92" s="570">
        <v>5700</v>
      </c>
      <c r="AB92" s="571">
        <v>0.16</v>
      </c>
      <c r="AC92" s="572">
        <v>0.15</v>
      </c>
      <c r="AD92" s="569">
        <f t="shared" si="137"/>
        <v>2520</v>
      </c>
      <c r="AE92" s="553">
        <f t="shared" si="138"/>
        <v>4845</v>
      </c>
      <c r="AF92" s="569">
        <f t="shared" si="139"/>
        <v>480</v>
      </c>
      <c r="AG92" s="570">
        <f t="shared" si="140"/>
        <v>855</v>
      </c>
      <c r="AH92" s="568" t="s">
        <v>401</v>
      </c>
      <c r="AI92" s="573" t="s">
        <v>403</v>
      </c>
      <c r="AJ92" s="586">
        <v>20</v>
      </c>
      <c r="AK92" s="573">
        <v>55</v>
      </c>
      <c r="AL92" s="569">
        <f t="shared" si="141"/>
        <v>50400</v>
      </c>
      <c r="AM92" s="553">
        <f t="shared" si="142"/>
        <v>266475</v>
      </c>
      <c r="AN92" s="569">
        <f t="shared" si="143"/>
        <v>9600</v>
      </c>
      <c r="AO92" s="570">
        <f t="shared" si="144"/>
        <v>47025</v>
      </c>
    </row>
    <row r="93" spans="2:41" x14ac:dyDescent="0.3">
      <c r="B93" s="158" t="s">
        <v>524</v>
      </c>
      <c r="C93" s="568" t="s">
        <v>515</v>
      </c>
      <c r="D93" s="161">
        <v>1</v>
      </c>
      <c r="E93" s="569">
        <v>400</v>
      </c>
      <c r="F93" s="570">
        <v>450</v>
      </c>
      <c r="G93" s="571">
        <v>0.06</v>
      </c>
      <c r="H93" s="552">
        <v>0.03</v>
      </c>
      <c r="I93" s="569">
        <f t="shared" si="129"/>
        <v>376</v>
      </c>
      <c r="J93" s="553">
        <f t="shared" si="130"/>
        <v>436.5</v>
      </c>
      <c r="K93" s="569">
        <f t="shared" si="131"/>
        <v>24</v>
      </c>
      <c r="L93" s="570">
        <f t="shared" si="132"/>
        <v>13.5</v>
      </c>
      <c r="M93" s="568" t="s">
        <v>400</v>
      </c>
      <c r="N93" s="573" t="s">
        <v>402</v>
      </c>
      <c r="O93" s="586">
        <v>10</v>
      </c>
      <c r="P93" s="568">
        <v>35</v>
      </c>
      <c r="Q93" s="569">
        <f t="shared" si="133"/>
        <v>3760</v>
      </c>
      <c r="R93" s="553">
        <f t="shared" si="134"/>
        <v>15277.5</v>
      </c>
      <c r="S93" s="569">
        <f t="shared" si="135"/>
        <v>240</v>
      </c>
      <c r="T93" s="570">
        <f t="shared" si="136"/>
        <v>472.5</v>
      </c>
      <c r="U93" s="568"/>
      <c r="W93" s="158" t="s">
        <v>524</v>
      </c>
      <c r="X93" s="568" t="s">
        <v>515</v>
      </c>
      <c r="Y93" s="161">
        <v>1</v>
      </c>
      <c r="Z93" s="569">
        <v>450</v>
      </c>
      <c r="AA93" s="570">
        <v>500</v>
      </c>
      <c r="AB93" s="571">
        <v>0.06</v>
      </c>
      <c r="AC93" s="572">
        <v>0.03</v>
      </c>
      <c r="AD93" s="569">
        <f t="shared" si="137"/>
        <v>423</v>
      </c>
      <c r="AE93" s="553">
        <f t="shared" si="138"/>
        <v>485</v>
      </c>
      <c r="AF93" s="569">
        <f t="shared" si="139"/>
        <v>27</v>
      </c>
      <c r="AG93" s="570">
        <f t="shared" si="140"/>
        <v>15</v>
      </c>
      <c r="AH93" s="568" t="s">
        <v>401</v>
      </c>
      <c r="AI93" s="573" t="s">
        <v>403</v>
      </c>
      <c r="AJ93" s="586">
        <v>20</v>
      </c>
      <c r="AK93" s="573">
        <v>55</v>
      </c>
      <c r="AL93" s="569">
        <f t="shared" si="141"/>
        <v>8460</v>
      </c>
      <c r="AM93" s="553">
        <f t="shared" si="142"/>
        <v>26675</v>
      </c>
      <c r="AN93" s="569">
        <f t="shared" si="143"/>
        <v>540</v>
      </c>
      <c r="AO93" s="570">
        <f t="shared" si="144"/>
        <v>825</v>
      </c>
    </row>
    <row r="94" spans="2:41" x14ac:dyDescent="0.3">
      <c r="B94" s="158" t="s">
        <v>538</v>
      </c>
      <c r="C94" s="568" t="s">
        <v>512</v>
      </c>
      <c r="D94" s="161">
        <v>3</v>
      </c>
      <c r="E94" s="569">
        <v>1720</v>
      </c>
      <c r="F94" s="570">
        <v>3660</v>
      </c>
      <c r="G94" s="571">
        <v>0.18</v>
      </c>
      <c r="H94" s="552">
        <v>0.17</v>
      </c>
      <c r="I94" s="569">
        <f t="shared" si="129"/>
        <v>1410.4</v>
      </c>
      <c r="J94" s="553">
        <f t="shared" si="130"/>
        <v>3037.7999999999997</v>
      </c>
      <c r="K94" s="569">
        <f t="shared" si="131"/>
        <v>309.59999999999997</v>
      </c>
      <c r="L94" s="570">
        <f t="shared" si="132"/>
        <v>622.20000000000005</v>
      </c>
      <c r="M94" s="568" t="s">
        <v>399</v>
      </c>
      <c r="N94" s="573" t="s">
        <v>401</v>
      </c>
      <c r="O94" s="586">
        <v>0</v>
      </c>
      <c r="P94" s="568">
        <v>20</v>
      </c>
      <c r="Q94" s="569">
        <f t="shared" si="133"/>
        <v>0</v>
      </c>
      <c r="R94" s="553">
        <f t="shared" si="134"/>
        <v>60755.999999999993</v>
      </c>
      <c r="S94" s="569">
        <f t="shared" si="135"/>
        <v>0</v>
      </c>
      <c r="T94" s="570">
        <f t="shared" si="136"/>
        <v>12444</v>
      </c>
      <c r="U94" s="568"/>
      <c r="W94" s="158" t="s">
        <v>538</v>
      </c>
      <c r="X94" s="568" t="s">
        <v>512</v>
      </c>
      <c r="Y94" s="161">
        <v>3</v>
      </c>
      <c r="Z94" s="569">
        <v>2550</v>
      </c>
      <c r="AA94" s="570">
        <v>5200</v>
      </c>
      <c r="AB94" s="571">
        <v>0.18</v>
      </c>
      <c r="AC94" s="572">
        <v>0.17</v>
      </c>
      <c r="AD94" s="569">
        <f t="shared" si="137"/>
        <v>2091</v>
      </c>
      <c r="AE94" s="553">
        <f t="shared" si="138"/>
        <v>4316</v>
      </c>
      <c r="AF94" s="569">
        <f t="shared" si="139"/>
        <v>459</v>
      </c>
      <c r="AG94" s="570">
        <f t="shared" si="140"/>
        <v>884.00000000000011</v>
      </c>
      <c r="AH94" s="568" t="s">
        <v>400</v>
      </c>
      <c r="AI94" s="573" t="s">
        <v>402</v>
      </c>
      <c r="AJ94" s="586">
        <v>10</v>
      </c>
      <c r="AK94" s="573">
        <v>35</v>
      </c>
      <c r="AL94" s="569">
        <f t="shared" si="141"/>
        <v>20910</v>
      </c>
      <c r="AM94" s="553">
        <f t="shared" si="142"/>
        <v>151060</v>
      </c>
      <c r="AN94" s="569">
        <f t="shared" si="143"/>
        <v>4590</v>
      </c>
      <c r="AO94" s="570">
        <f t="shared" si="144"/>
        <v>30940.000000000004</v>
      </c>
    </row>
    <row r="95" spans="2:41" x14ac:dyDescent="0.3">
      <c r="B95" s="158" t="s">
        <v>526</v>
      </c>
      <c r="C95" s="568" t="s">
        <v>518</v>
      </c>
      <c r="D95" s="161">
        <v>1</v>
      </c>
      <c r="E95" s="569">
        <v>250</v>
      </c>
      <c r="F95" s="570">
        <v>500</v>
      </c>
      <c r="G95" s="571">
        <v>0.03</v>
      </c>
      <c r="H95" s="552">
        <v>0.03</v>
      </c>
      <c r="I95" s="569">
        <f t="shared" si="129"/>
        <v>242.5</v>
      </c>
      <c r="J95" s="553">
        <f t="shared" si="130"/>
        <v>485</v>
      </c>
      <c r="K95" s="569">
        <f t="shared" si="131"/>
        <v>7.5</v>
      </c>
      <c r="L95" s="570">
        <f t="shared" si="132"/>
        <v>15</v>
      </c>
      <c r="M95" s="568" t="s">
        <v>400</v>
      </c>
      <c r="N95" s="573" t="s">
        <v>401</v>
      </c>
      <c r="O95" s="586">
        <v>10</v>
      </c>
      <c r="P95" s="568">
        <v>20</v>
      </c>
      <c r="Q95" s="569">
        <f t="shared" si="133"/>
        <v>2425</v>
      </c>
      <c r="R95" s="553">
        <f t="shared" si="134"/>
        <v>9700</v>
      </c>
      <c r="S95" s="569">
        <f t="shared" si="135"/>
        <v>75</v>
      </c>
      <c r="T95" s="570">
        <f t="shared" si="136"/>
        <v>300</v>
      </c>
      <c r="U95" s="568"/>
      <c r="W95" s="158" t="s">
        <v>526</v>
      </c>
      <c r="X95" s="568" t="s">
        <v>518</v>
      </c>
      <c r="Y95" s="161">
        <v>1</v>
      </c>
      <c r="Z95" s="569">
        <v>450</v>
      </c>
      <c r="AA95" s="570">
        <v>850</v>
      </c>
      <c r="AB95" s="571">
        <v>0.03</v>
      </c>
      <c r="AC95" s="572">
        <v>0.03</v>
      </c>
      <c r="AD95" s="569">
        <f t="shared" si="137"/>
        <v>436.5</v>
      </c>
      <c r="AE95" s="553">
        <f t="shared" si="138"/>
        <v>824.5</v>
      </c>
      <c r="AF95" s="569">
        <f t="shared" si="139"/>
        <v>13.5</v>
      </c>
      <c r="AG95" s="570">
        <f t="shared" si="140"/>
        <v>25.5</v>
      </c>
      <c r="AH95" s="568" t="s">
        <v>400</v>
      </c>
      <c r="AI95" s="573" t="s">
        <v>403</v>
      </c>
      <c r="AJ95" s="586">
        <v>10</v>
      </c>
      <c r="AK95" s="573">
        <v>55</v>
      </c>
      <c r="AL95" s="569">
        <f t="shared" si="141"/>
        <v>4365</v>
      </c>
      <c r="AM95" s="553">
        <f t="shared" si="142"/>
        <v>45347.5</v>
      </c>
      <c r="AN95" s="569">
        <f t="shared" si="143"/>
        <v>135</v>
      </c>
      <c r="AO95" s="570">
        <f t="shared" si="144"/>
        <v>1402.5</v>
      </c>
    </row>
    <row r="96" spans="2:41" x14ac:dyDescent="0.3">
      <c r="B96" s="158" t="s">
        <v>539</v>
      </c>
      <c r="C96" s="568" t="s">
        <v>512</v>
      </c>
      <c r="D96" s="161">
        <v>3</v>
      </c>
      <c r="E96" s="569">
        <v>1970</v>
      </c>
      <c r="F96" s="570">
        <v>4160</v>
      </c>
      <c r="G96" s="571">
        <v>0.16</v>
      </c>
      <c r="H96" s="552">
        <v>0.15</v>
      </c>
      <c r="I96" s="569">
        <f t="shared" si="129"/>
        <v>1654.8</v>
      </c>
      <c r="J96" s="553">
        <f t="shared" si="130"/>
        <v>3536</v>
      </c>
      <c r="K96" s="569">
        <f t="shared" si="131"/>
        <v>315.2</v>
      </c>
      <c r="L96" s="570">
        <f t="shared" si="132"/>
        <v>624</v>
      </c>
      <c r="M96" s="568" t="s">
        <v>400</v>
      </c>
      <c r="N96" s="573" t="s">
        <v>401</v>
      </c>
      <c r="O96" s="586">
        <v>10</v>
      </c>
      <c r="P96" s="568">
        <v>20</v>
      </c>
      <c r="Q96" s="569">
        <f t="shared" si="133"/>
        <v>16548</v>
      </c>
      <c r="R96" s="553">
        <f t="shared" si="134"/>
        <v>70720</v>
      </c>
      <c r="S96" s="569">
        <f t="shared" si="135"/>
        <v>3152</v>
      </c>
      <c r="T96" s="570">
        <f t="shared" si="136"/>
        <v>12480</v>
      </c>
      <c r="U96" s="568"/>
      <c r="W96" s="158" t="s">
        <v>539</v>
      </c>
      <c r="X96" s="568" t="s">
        <v>512</v>
      </c>
      <c r="Y96" s="161">
        <v>3</v>
      </c>
      <c r="Z96" s="569">
        <v>3000</v>
      </c>
      <c r="AA96" s="570">
        <v>6050</v>
      </c>
      <c r="AB96" s="571">
        <v>0.16</v>
      </c>
      <c r="AC96" s="572">
        <v>0.15</v>
      </c>
      <c r="AD96" s="569">
        <f t="shared" si="137"/>
        <v>2520</v>
      </c>
      <c r="AE96" s="553">
        <f t="shared" si="138"/>
        <v>5142.5</v>
      </c>
      <c r="AF96" s="569">
        <f t="shared" si="139"/>
        <v>480</v>
      </c>
      <c r="AG96" s="570">
        <f t="shared" si="140"/>
        <v>907.5</v>
      </c>
      <c r="AH96" s="568" t="s">
        <v>400</v>
      </c>
      <c r="AI96" s="573" t="s">
        <v>403</v>
      </c>
      <c r="AJ96" s="586">
        <v>10</v>
      </c>
      <c r="AK96" s="573">
        <v>55</v>
      </c>
      <c r="AL96" s="569">
        <f t="shared" si="141"/>
        <v>25200</v>
      </c>
      <c r="AM96" s="553">
        <f t="shared" si="142"/>
        <v>282837.5</v>
      </c>
      <c r="AN96" s="569">
        <f t="shared" si="143"/>
        <v>4800</v>
      </c>
      <c r="AO96" s="570">
        <f t="shared" si="144"/>
        <v>49912.5</v>
      </c>
    </row>
    <row r="97" spans="2:41" x14ac:dyDescent="0.3">
      <c r="B97" s="158" t="s">
        <v>520</v>
      </c>
      <c r="C97" s="568" t="s">
        <v>515</v>
      </c>
      <c r="D97" s="161">
        <v>2</v>
      </c>
      <c r="E97" s="569">
        <v>700</v>
      </c>
      <c r="F97" s="570">
        <v>1800</v>
      </c>
      <c r="G97" s="571">
        <v>0.06</v>
      </c>
      <c r="H97" s="552">
        <v>0.02</v>
      </c>
      <c r="I97" s="569">
        <f t="shared" si="129"/>
        <v>658</v>
      </c>
      <c r="J97" s="553">
        <f t="shared" si="130"/>
        <v>1764</v>
      </c>
      <c r="K97" s="569">
        <f t="shared" si="131"/>
        <v>42</v>
      </c>
      <c r="L97" s="570">
        <f t="shared" si="132"/>
        <v>36</v>
      </c>
      <c r="M97" s="568" t="s">
        <v>399</v>
      </c>
      <c r="N97" s="573" t="s">
        <v>400</v>
      </c>
      <c r="O97" s="586">
        <v>0</v>
      </c>
      <c r="P97" s="568">
        <v>10</v>
      </c>
      <c r="Q97" s="569">
        <f t="shared" si="133"/>
        <v>0</v>
      </c>
      <c r="R97" s="553">
        <f t="shared" si="134"/>
        <v>17640</v>
      </c>
      <c r="S97" s="569">
        <f t="shared" si="135"/>
        <v>0</v>
      </c>
      <c r="T97" s="570">
        <f t="shared" si="136"/>
        <v>360</v>
      </c>
      <c r="U97" s="568"/>
      <c r="W97" s="158" t="s">
        <v>520</v>
      </c>
      <c r="X97" s="568" t="s">
        <v>515</v>
      </c>
      <c r="Y97" s="161">
        <v>2</v>
      </c>
      <c r="Z97" s="569">
        <v>950</v>
      </c>
      <c r="AA97" s="570">
        <v>2400</v>
      </c>
      <c r="AB97" s="571">
        <v>0.06</v>
      </c>
      <c r="AC97" s="572">
        <v>0.02</v>
      </c>
      <c r="AD97" s="569">
        <f t="shared" si="137"/>
        <v>893</v>
      </c>
      <c r="AE97" s="553">
        <f t="shared" si="138"/>
        <v>2352</v>
      </c>
      <c r="AF97" s="569">
        <f t="shared" si="139"/>
        <v>57</v>
      </c>
      <c r="AG97" s="570">
        <f t="shared" si="140"/>
        <v>48</v>
      </c>
      <c r="AH97" s="568" t="s">
        <v>513</v>
      </c>
      <c r="AI97" s="573" t="s">
        <v>401</v>
      </c>
      <c r="AJ97" s="586">
        <v>0</v>
      </c>
      <c r="AK97" s="573">
        <v>20</v>
      </c>
      <c r="AL97" s="569">
        <f t="shared" si="141"/>
        <v>0</v>
      </c>
      <c r="AM97" s="553">
        <f t="shared" si="142"/>
        <v>47040</v>
      </c>
      <c r="AN97" s="569">
        <f t="shared" si="143"/>
        <v>0</v>
      </c>
      <c r="AO97" s="570">
        <f t="shared" si="144"/>
        <v>960</v>
      </c>
    </row>
    <row r="98" spans="2:41" x14ac:dyDescent="0.3">
      <c r="B98" s="158" t="s">
        <v>521</v>
      </c>
      <c r="C98" s="568" t="s">
        <v>512</v>
      </c>
      <c r="D98" s="161">
        <v>3</v>
      </c>
      <c r="E98" s="569">
        <v>1270</v>
      </c>
      <c r="F98" s="570">
        <v>2360</v>
      </c>
      <c r="G98" s="571">
        <v>0.25</v>
      </c>
      <c r="H98" s="552">
        <v>0.22</v>
      </c>
      <c r="I98" s="569">
        <f t="shared" si="129"/>
        <v>952.5</v>
      </c>
      <c r="J98" s="553">
        <f t="shared" si="130"/>
        <v>1840.8</v>
      </c>
      <c r="K98" s="569">
        <f t="shared" si="131"/>
        <v>317.5</v>
      </c>
      <c r="L98" s="570">
        <f t="shared" si="132"/>
        <v>519.20000000000005</v>
      </c>
      <c r="M98" s="568" t="s">
        <v>399</v>
      </c>
      <c r="N98" s="573" t="s">
        <v>400</v>
      </c>
      <c r="O98" s="586">
        <v>0</v>
      </c>
      <c r="P98" s="568">
        <v>10</v>
      </c>
      <c r="Q98" s="569">
        <f t="shared" si="133"/>
        <v>0</v>
      </c>
      <c r="R98" s="553">
        <f t="shared" si="134"/>
        <v>18408</v>
      </c>
      <c r="S98" s="569">
        <f t="shared" si="135"/>
        <v>0</v>
      </c>
      <c r="T98" s="570">
        <f t="shared" si="136"/>
        <v>5192</v>
      </c>
      <c r="U98" s="568"/>
      <c r="W98" s="158" t="s">
        <v>521</v>
      </c>
      <c r="X98" s="568" t="s">
        <v>512</v>
      </c>
      <c r="Y98" s="161">
        <v>3</v>
      </c>
      <c r="Z98" s="569">
        <v>2050</v>
      </c>
      <c r="AA98" s="570">
        <v>3650</v>
      </c>
      <c r="AB98" s="571">
        <v>0.25</v>
      </c>
      <c r="AC98" s="572">
        <v>0.22</v>
      </c>
      <c r="AD98" s="569">
        <f t="shared" si="137"/>
        <v>1537.5</v>
      </c>
      <c r="AE98" s="553">
        <f t="shared" si="138"/>
        <v>2847</v>
      </c>
      <c r="AF98" s="569">
        <f t="shared" si="139"/>
        <v>512.5</v>
      </c>
      <c r="AG98" s="570">
        <f t="shared" si="140"/>
        <v>803</v>
      </c>
      <c r="AH98" s="568" t="s">
        <v>400</v>
      </c>
      <c r="AI98" s="573" t="s">
        <v>402</v>
      </c>
      <c r="AJ98" s="586">
        <v>10</v>
      </c>
      <c r="AK98" s="573">
        <v>35</v>
      </c>
      <c r="AL98" s="569">
        <f t="shared" si="141"/>
        <v>15375</v>
      </c>
      <c r="AM98" s="553">
        <f t="shared" si="142"/>
        <v>99645</v>
      </c>
      <c r="AN98" s="569">
        <f t="shared" si="143"/>
        <v>5125</v>
      </c>
      <c r="AO98" s="570">
        <f t="shared" si="144"/>
        <v>28105</v>
      </c>
    </row>
    <row r="99" spans="2:41" x14ac:dyDescent="0.3">
      <c r="B99" s="158" t="s">
        <v>522</v>
      </c>
      <c r="C99" s="568" t="s">
        <v>518</v>
      </c>
      <c r="D99" s="161">
        <v>1</v>
      </c>
      <c r="E99" s="569">
        <v>75</v>
      </c>
      <c r="F99" s="570">
        <v>225</v>
      </c>
      <c r="G99" s="571">
        <v>0</v>
      </c>
      <c r="H99" s="552">
        <v>0.01</v>
      </c>
      <c r="I99" s="569">
        <f t="shared" si="129"/>
        <v>75</v>
      </c>
      <c r="J99" s="553">
        <f t="shared" si="130"/>
        <v>222.75</v>
      </c>
      <c r="K99" s="569">
        <f t="shared" si="131"/>
        <v>0</v>
      </c>
      <c r="L99" s="570">
        <f t="shared" si="132"/>
        <v>2.25</v>
      </c>
      <c r="M99" s="568" t="s">
        <v>399</v>
      </c>
      <c r="N99" s="573" t="s">
        <v>400</v>
      </c>
      <c r="O99" s="586">
        <v>0</v>
      </c>
      <c r="P99" s="568">
        <v>10</v>
      </c>
      <c r="Q99" s="569">
        <f t="shared" si="133"/>
        <v>0</v>
      </c>
      <c r="R99" s="553">
        <f t="shared" si="134"/>
        <v>2227.5</v>
      </c>
      <c r="S99" s="569">
        <f t="shared" si="135"/>
        <v>0</v>
      </c>
      <c r="T99" s="570">
        <f t="shared" si="136"/>
        <v>22.5</v>
      </c>
      <c r="U99" s="568"/>
      <c r="W99" s="158" t="s">
        <v>522</v>
      </c>
      <c r="X99" s="568" t="s">
        <v>518</v>
      </c>
      <c r="Y99" s="161">
        <v>1</v>
      </c>
      <c r="Z99" s="569">
        <v>150</v>
      </c>
      <c r="AA99" s="570">
        <v>400</v>
      </c>
      <c r="AB99" s="571">
        <v>0</v>
      </c>
      <c r="AC99" s="572">
        <v>0.01</v>
      </c>
      <c r="AD99" s="569">
        <f t="shared" si="137"/>
        <v>150</v>
      </c>
      <c r="AE99" s="553">
        <f t="shared" si="138"/>
        <v>396</v>
      </c>
      <c r="AF99" s="569">
        <f t="shared" si="139"/>
        <v>0</v>
      </c>
      <c r="AG99" s="570">
        <f t="shared" si="140"/>
        <v>4</v>
      </c>
      <c r="AH99" s="568" t="s">
        <v>400</v>
      </c>
      <c r="AI99" s="573" t="s">
        <v>401</v>
      </c>
      <c r="AJ99" s="586">
        <v>10</v>
      </c>
      <c r="AK99" s="573">
        <v>20</v>
      </c>
      <c r="AL99" s="569">
        <f t="shared" si="141"/>
        <v>1500</v>
      </c>
      <c r="AM99" s="553">
        <f t="shared" si="142"/>
        <v>7920</v>
      </c>
      <c r="AN99" s="569">
        <f t="shared" si="143"/>
        <v>0</v>
      </c>
      <c r="AO99" s="570">
        <f t="shared" si="144"/>
        <v>80</v>
      </c>
    </row>
    <row r="100" spans="2:41" x14ac:dyDescent="0.3">
      <c r="B100" s="158" t="s">
        <v>540</v>
      </c>
      <c r="C100" s="568" t="s">
        <v>512</v>
      </c>
      <c r="D100" s="161">
        <v>3</v>
      </c>
      <c r="E100" s="569">
        <v>1345</v>
      </c>
      <c r="F100" s="570">
        <v>2585</v>
      </c>
      <c r="G100" s="571">
        <v>0.24</v>
      </c>
      <c r="H100" s="552">
        <v>0.22</v>
      </c>
      <c r="I100" s="569">
        <f t="shared" si="129"/>
        <v>1022.2</v>
      </c>
      <c r="J100" s="553">
        <f t="shared" si="130"/>
        <v>2016.3000000000002</v>
      </c>
      <c r="K100" s="569">
        <f t="shared" si="131"/>
        <v>322.8</v>
      </c>
      <c r="L100" s="570">
        <f t="shared" si="132"/>
        <v>568.70000000000005</v>
      </c>
      <c r="M100" s="568" t="s">
        <v>399</v>
      </c>
      <c r="N100" s="573" t="s">
        <v>400</v>
      </c>
      <c r="O100" s="586">
        <v>0</v>
      </c>
      <c r="P100" s="568">
        <v>10</v>
      </c>
      <c r="Q100" s="569">
        <f t="shared" si="133"/>
        <v>0</v>
      </c>
      <c r="R100" s="553">
        <f t="shared" si="134"/>
        <v>20163</v>
      </c>
      <c r="S100" s="569">
        <f t="shared" si="135"/>
        <v>0</v>
      </c>
      <c r="T100" s="570">
        <f t="shared" si="136"/>
        <v>5687</v>
      </c>
      <c r="U100" s="568"/>
      <c r="W100" s="158" t="s">
        <v>540</v>
      </c>
      <c r="X100" s="568" t="s">
        <v>512</v>
      </c>
      <c r="Y100" s="161">
        <v>3</v>
      </c>
      <c r="Z100" s="569">
        <v>2200</v>
      </c>
      <c r="AA100" s="570">
        <v>4050</v>
      </c>
      <c r="AB100" s="571">
        <v>0.24</v>
      </c>
      <c r="AC100" s="572">
        <v>0.22</v>
      </c>
      <c r="AD100" s="569">
        <f t="shared" si="137"/>
        <v>1672</v>
      </c>
      <c r="AE100" s="553">
        <f t="shared" si="138"/>
        <v>3159</v>
      </c>
      <c r="AF100" s="569">
        <f t="shared" si="139"/>
        <v>528</v>
      </c>
      <c r="AG100" s="570">
        <f t="shared" si="140"/>
        <v>891</v>
      </c>
      <c r="AH100" s="568" t="s">
        <v>400</v>
      </c>
      <c r="AI100" s="573" t="s">
        <v>402</v>
      </c>
      <c r="AJ100" s="586">
        <v>10</v>
      </c>
      <c r="AK100" s="573">
        <v>35</v>
      </c>
      <c r="AL100" s="569">
        <f t="shared" si="141"/>
        <v>16720</v>
      </c>
      <c r="AM100" s="553">
        <f t="shared" si="142"/>
        <v>110565</v>
      </c>
      <c r="AN100" s="569">
        <f t="shared" si="143"/>
        <v>5280</v>
      </c>
      <c r="AO100" s="570">
        <f t="shared" si="144"/>
        <v>31185</v>
      </c>
    </row>
    <row r="101" spans="2:41" x14ac:dyDescent="0.3">
      <c r="B101" s="158" t="s">
        <v>522</v>
      </c>
      <c r="C101" s="568" t="s">
        <v>518</v>
      </c>
      <c r="D101" s="161">
        <v>1</v>
      </c>
      <c r="E101" s="569">
        <v>25</v>
      </c>
      <c r="F101" s="570">
        <v>175</v>
      </c>
      <c r="G101" s="571">
        <v>0</v>
      </c>
      <c r="H101" s="552">
        <v>0.01</v>
      </c>
      <c r="I101" s="569">
        <f t="shared" si="129"/>
        <v>25</v>
      </c>
      <c r="J101" s="553">
        <f t="shared" si="130"/>
        <v>173.25</v>
      </c>
      <c r="K101" s="569">
        <f t="shared" si="131"/>
        <v>0</v>
      </c>
      <c r="L101" s="570">
        <f t="shared" si="132"/>
        <v>1.75</v>
      </c>
      <c r="M101" s="568" t="s">
        <v>399</v>
      </c>
      <c r="N101" s="573" t="s">
        <v>400</v>
      </c>
      <c r="O101" s="586">
        <v>0</v>
      </c>
      <c r="P101" s="568">
        <v>10</v>
      </c>
      <c r="Q101" s="569">
        <f t="shared" si="133"/>
        <v>0</v>
      </c>
      <c r="R101" s="553">
        <f t="shared" si="134"/>
        <v>1732.5</v>
      </c>
      <c r="S101" s="569">
        <f t="shared" si="135"/>
        <v>0</v>
      </c>
      <c r="T101" s="570">
        <f t="shared" si="136"/>
        <v>17.5</v>
      </c>
      <c r="U101" s="568"/>
      <c r="W101" s="158" t="s">
        <v>522</v>
      </c>
      <c r="X101" s="568" t="s">
        <v>518</v>
      </c>
      <c r="Y101" s="161">
        <v>1</v>
      </c>
      <c r="Z101" s="569">
        <v>50</v>
      </c>
      <c r="AA101" s="570">
        <v>300</v>
      </c>
      <c r="AB101" s="571">
        <v>0</v>
      </c>
      <c r="AC101" s="572">
        <v>0.01</v>
      </c>
      <c r="AD101" s="569">
        <f t="shared" si="137"/>
        <v>50</v>
      </c>
      <c r="AE101" s="553">
        <f t="shared" si="138"/>
        <v>297</v>
      </c>
      <c r="AF101" s="569">
        <f t="shared" si="139"/>
        <v>0</v>
      </c>
      <c r="AG101" s="570">
        <f t="shared" si="140"/>
        <v>3</v>
      </c>
      <c r="AH101" s="568" t="s">
        <v>400</v>
      </c>
      <c r="AI101" s="573" t="s">
        <v>401</v>
      </c>
      <c r="AJ101" s="586">
        <v>10</v>
      </c>
      <c r="AK101" s="573">
        <v>20</v>
      </c>
      <c r="AL101" s="569">
        <f t="shared" si="141"/>
        <v>500</v>
      </c>
      <c r="AM101" s="553">
        <f t="shared" si="142"/>
        <v>5940</v>
      </c>
      <c r="AN101" s="569">
        <f t="shared" si="143"/>
        <v>0</v>
      </c>
      <c r="AO101" s="570">
        <f t="shared" si="144"/>
        <v>60</v>
      </c>
    </row>
    <row r="102" spans="2:41" x14ac:dyDescent="0.3">
      <c r="B102" s="158" t="s">
        <v>537</v>
      </c>
      <c r="C102" s="568" t="s">
        <v>512</v>
      </c>
      <c r="D102" s="161">
        <v>3</v>
      </c>
      <c r="E102" s="569">
        <v>1370</v>
      </c>
      <c r="F102" s="570">
        <v>2760</v>
      </c>
      <c r="G102" s="571">
        <v>0.24</v>
      </c>
      <c r="H102" s="552">
        <v>0.22</v>
      </c>
      <c r="I102" s="569">
        <f t="shared" si="129"/>
        <v>1041.2</v>
      </c>
      <c r="J102" s="553">
        <f t="shared" si="130"/>
        <v>2152.8000000000002</v>
      </c>
      <c r="K102" s="569">
        <f t="shared" si="131"/>
        <v>328.8</v>
      </c>
      <c r="L102" s="570">
        <f t="shared" si="132"/>
        <v>607.20000000000005</v>
      </c>
      <c r="M102" s="568" t="s">
        <v>399</v>
      </c>
      <c r="N102" s="573" t="s">
        <v>400</v>
      </c>
      <c r="O102" s="586">
        <v>0</v>
      </c>
      <c r="P102" s="568">
        <v>10</v>
      </c>
      <c r="Q102" s="569">
        <f t="shared" si="133"/>
        <v>0</v>
      </c>
      <c r="R102" s="553">
        <f t="shared" si="134"/>
        <v>21528</v>
      </c>
      <c r="S102" s="569">
        <f t="shared" si="135"/>
        <v>0</v>
      </c>
      <c r="T102" s="570">
        <f t="shared" si="136"/>
        <v>6072</v>
      </c>
      <c r="U102" s="568"/>
      <c r="W102" s="158" t="s">
        <v>537</v>
      </c>
      <c r="X102" s="568" t="s">
        <v>512</v>
      </c>
      <c r="Y102" s="161">
        <v>3</v>
      </c>
      <c r="Z102" s="569">
        <v>22850</v>
      </c>
      <c r="AA102" s="570">
        <v>4350</v>
      </c>
      <c r="AB102" s="571">
        <v>0.24</v>
      </c>
      <c r="AC102" s="572">
        <v>0.22</v>
      </c>
      <c r="AD102" s="569">
        <f t="shared" si="137"/>
        <v>17366</v>
      </c>
      <c r="AE102" s="553">
        <f t="shared" si="138"/>
        <v>3393</v>
      </c>
      <c r="AF102" s="569">
        <f t="shared" si="139"/>
        <v>5484</v>
      </c>
      <c r="AG102" s="570">
        <f t="shared" si="140"/>
        <v>957</v>
      </c>
      <c r="AH102" s="568" t="s">
        <v>400</v>
      </c>
      <c r="AI102" s="573" t="s">
        <v>402</v>
      </c>
      <c r="AJ102" s="586">
        <v>10</v>
      </c>
      <c r="AK102" s="573">
        <v>35</v>
      </c>
      <c r="AL102" s="569">
        <f t="shared" si="141"/>
        <v>173660</v>
      </c>
      <c r="AM102" s="553">
        <f t="shared" si="142"/>
        <v>118755</v>
      </c>
      <c r="AN102" s="569">
        <f t="shared" si="143"/>
        <v>54840</v>
      </c>
      <c r="AO102" s="570">
        <f t="shared" si="144"/>
        <v>33495</v>
      </c>
    </row>
    <row r="103" spans="2:41" x14ac:dyDescent="0.3">
      <c r="B103" s="158" t="s">
        <v>514</v>
      </c>
      <c r="C103" s="568" t="s">
        <v>515</v>
      </c>
      <c r="D103" s="161">
        <v>1</v>
      </c>
      <c r="E103" s="569">
        <v>460</v>
      </c>
      <c r="F103" s="570">
        <v>1100</v>
      </c>
      <c r="G103" s="571">
        <v>0.08</v>
      </c>
      <c r="H103" s="552">
        <v>0.01</v>
      </c>
      <c r="I103" s="569">
        <f t="shared" si="129"/>
        <v>423.20000000000005</v>
      </c>
      <c r="J103" s="553">
        <f t="shared" si="130"/>
        <v>1089</v>
      </c>
      <c r="K103" s="569">
        <f t="shared" si="131"/>
        <v>36.800000000000004</v>
      </c>
      <c r="L103" s="570">
        <f t="shared" si="132"/>
        <v>11</v>
      </c>
      <c r="M103" s="568" t="s">
        <v>399</v>
      </c>
      <c r="N103" s="573" t="s">
        <v>400</v>
      </c>
      <c r="O103" s="586">
        <v>0</v>
      </c>
      <c r="P103" s="568">
        <v>10</v>
      </c>
      <c r="Q103" s="569">
        <f t="shared" si="133"/>
        <v>0</v>
      </c>
      <c r="R103" s="553">
        <f t="shared" si="134"/>
        <v>10890</v>
      </c>
      <c r="S103" s="569">
        <f t="shared" si="135"/>
        <v>0</v>
      </c>
      <c r="T103" s="570">
        <f t="shared" si="136"/>
        <v>110</v>
      </c>
      <c r="U103" s="568"/>
      <c r="W103" s="158" t="s">
        <v>514</v>
      </c>
      <c r="X103" s="568" t="s">
        <v>515</v>
      </c>
      <c r="Y103" s="161">
        <v>1</v>
      </c>
      <c r="Z103" s="569">
        <v>750</v>
      </c>
      <c r="AA103" s="570">
        <v>1800</v>
      </c>
      <c r="AB103" s="571">
        <v>0.08</v>
      </c>
      <c r="AC103" s="572">
        <v>0.01</v>
      </c>
      <c r="AD103" s="569">
        <f t="shared" si="137"/>
        <v>690</v>
      </c>
      <c r="AE103" s="553">
        <f t="shared" si="138"/>
        <v>1782</v>
      </c>
      <c r="AF103" s="569">
        <f t="shared" si="139"/>
        <v>60</v>
      </c>
      <c r="AG103" s="570">
        <f t="shared" si="140"/>
        <v>18</v>
      </c>
      <c r="AH103" s="568" t="s">
        <v>400</v>
      </c>
      <c r="AI103" s="573" t="s">
        <v>402</v>
      </c>
      <c r="AJ103" s="586">
        <v>10</v>
      </c>
      <c r="AK103" s="573">
        <v>35</v>
      </c>
      <c r="AL103" s="569">
        <f t="shared" si="141"/>
        <v>6900</v>
      </c>
      <c r="AM103" s="553">
        <f t="shared" si="142"/>
        <v>62370</v>
      </c>
      <c r="AN103" s="569">
        <f t="shared" si="143"/>
        <v>600</v>
      </c>
      <c r="AO103" s="570">
        <f t="shared" si="144"/>
        <v>630</v>
      </c>
    </row>
    <row r="104" spans="2:41" x14ac:dyDescent="0.3">
      <c r="B104" s="158" t="s">
        <v>516</v>
      </c>
      <c r="C104" s="568" t="s">
        <v>512</v>
      </c>
      <c r="D104" s="161">
        <v>2</v>
      </c>
      <c r="E104" s="569">
        <v>910</v>
      </c>
      <c r="F104" s="570">
        <v>1660</v>
      </c>
      <c r="G104" s="571">
        <v>0.33</v>
      </c>
      <c r="H104" s="552">
        <v>0.33</v>
      </c>
      <c r="I104" s="569">
        <f t="shared" si="129"/>
        <v>609.69999999999993</v>
      </c>
      <c r="J104" s="553">
        <f t="shared" si="130"/>
        <v>1112.1999999999998</v>
      </c>
      <c r="K104" s="569">
        <f t="shared" si="131"/>
        <v>300.3</v>
      </c>
      <c r="L104" s="570">
        <f t="shared" si="132"/>
        <v>547.80000000000007</v>
      </c>
      <c r="M104" s="568" t="s">
        <v>399</v>
      </c>
      <c r="N104" s="573" t="s">
        <v>400</v>
      </c>
      <c r="O104" s="586">
        <v>0</v>
      </c>
      <c r="P104" s="568">
        <v>10</v>
      </c>
      <c r="Q104" s="569">
        <f t="shared" si="133"/>
        <v>0</v>
      </c>
      <c r="R104" s="553">
        <f t="shared" si="134"/>
        <v>11121.999999999998</v>
      </c>
      <c r="S104" s="569">
        <f t="shared" si="135"/>
        <v>0</v>
      </c>
      <c r="T104" s="570">
        <f t="shared" si="136"/>
        <v>5478.0000000000009</v>
      </c>
      <c r="U104" s="568"/>
      <c r="W104" s="158" t="s">
        <v>516</v>
      </c>
      <c r="X104" s="568" t="s">
        <v>512</v>
      </c>
      <c r="Y104" s="161">
        <v>2</v>
      </c>
      <c r="Z104" s="569">
        <v>1500</v>
      </c>
      <c r="AA104" s="570">
        <v>2550</v>
      </c>
      <c r="AB104" s="571">
        <v>0.33</v>
      </c>
      <c r="AC104" s="572">
        <v>0.33</v>
      </c>
      <c r="AD104" s="569">
        <f t="shared" si="137"/>
        <v>1004.9999999999999</v>
      </c>
      <c r="AE104" s="553">
        <f t="shared" si="138"/>
        <v>1708.4999999999998</v>
      </c>
      <c r="AF104" s="569">
        <f t="shared" si="139"/>
        <v>495</v>
      </c>
      <c r="AG104" s="570">
        <f t="shared" si="140"/>
        <v>841.5</v>
      </c>
      <c r="AH104" s="568" t="s">
        <v>400</v>
      </c>
      <c r="AI104" s="573" t="s">
        <v>401</v>
      </c>
      <c r="AJ104" s="586">
        <v>10</v>
      </c>
      <c r="AK104" s="573">
        <v>20</v>
      </c>
      <c r="AL104" s="569">
        <f t="shared" si="141"/>
        <v>10049.999999999998</v>
      </c>
      <c r="AM104" s="553">
        <f t="shared" si="142"/>
        <v>34169.999999999993</v>
      </c>
      <c r="AN104" s="569">
        <f t="shared" si="143"/>
        <v>4950</v>
      </c>
      <c r="AO104" s="570">
        <f t="shared" si="144"/>
        <v>16830</v>
      </c>
    </row>
    <row r="105" spans="2:41" x14ac:dyDescent="0.3">
      <c r="B105" s="158" t="s">
        <v>517</v>
      </c>
      <c r="C105" s="568" t="s">
        <v>518</v>
      </c>
      <c r="D105" s="161">
        <v>1</v>
      </c>
      <c r="E105" s="569">
        <v>90</v>
      </c>
      <c r="F105" s="570">
        <v>40</v>
      </c>
      <c r="G105" s="571">
        <v>0</v>
      </c>
      <c r="H105" s="552">
        <v>0.1</v>
      </c>
      <c r="I105" s="569">
        <f t="shared" si="129"/>
        <v>90</v>
      </c>
      <c r="J105" s="553">
        <f t="shared" si="130"/>
        <v>36</v>
      </c>
      <c r="K105" s="569">
        <f t="shared" si="131"/>
        <v>0</v>
      </c>
      <c r="L105" s="570">
        <f t="shared" si="132"/>
        <v>4</v>
      </c>
      <c r="M105" s="568" t="s">
        <v>399</v>
      </c>
      <c r="N105" s="573" t="s">
        <v>400</v>
      </c>
      <c r="O105" s="586">
        <v>0</v>
      </c>
      <c r="P105" s="584">
        <v>10</v>
      </c>
      <c r="Q105" s="569">
        <f t="shared" si="133"/>
        <v>0</v>
      </c>
      <c r="R105" s="553">
        <f t="shared" si="134"/>
        <v>360</v>
      </c>
      <c r="S105" s="569">
        <f t="shared" si="135"/>
        <v>0</v>
      </c>
      <c r="T105" s="570">
        <f t="shared" si="136"/>
        <v>40</v>
      </c>
      <c r="U105" s="584"/>
      <c r="W105" s="158" t="s">
        <v>517</v>
      </c>
      <c r="X105" s="568" t="s">
        <v>518</v>
      </c>
      <c r="Y105" s="161">
        <v>1</v>
      </c>
      <c r="Z105" s="569">
        <v>100</v>
      </c>
      <c r="AA105" s="570">
        <v>50</v>
      </c>
      <c r="AB105" s="571">
        <v>0</v>
      </c>
      <c r="AC105" s="572">
        <v>0.1</v>
      </c>
      <c r="AD105" s="569">
        <f t="shared" si="137"/>
        <v>100</v>
      </c>
      <c r="AE105" s="553">
        <f t="shared" si="138"/>
        <v>45</v>
      </c>
      <c r="AF105" s="569">
        <f t="shared" si="139"/>
        <v>0</v>
      </c>
      <c r="AG105" s="570">
        <f t="shared" si="140"/>
        <v>5</v>
      </c>
      <c r="AH105" s="568" t="s">
        <v>400</v>
      </c>
      <c r="AI105" s="573" t="s">
        <v>401</v>
      </c>
      <c r="AJ105" s="586">
        <v>10</v>
      </c>
      <c r="AK105" s="119">
        <v>20</v>
      </c>
      <c r="AL105" s="569">
        <f t="shared" si="141"/>
        <v>1000</v>
      </c>
      <c r="AM105" s="553">
        <f t="shared" si="142"/>
        <v>900</v>
      </c>
      <c r="AN105" s="569">
        <f t="shared" si="143"/>
        <v>0</v>
      </c>
      <c r="AO105" s="570">
        <f t="shared" si="144"/>
        <v>100</v>
      </c>
    </row>
    <row r="106" spans="2:41" x14ac:dyDescent="0.3">
      <c r="B106" s="159" t="s">
        <v>511</v>
      </c>
      <c r="C106" s="579" t="s">
        <v>512</v>
      </c>
      <c r="D106" s="526">
        <v>2</v>
      </c>
      <c r="E106" s="468">
        <v>1000</v>
      </c>
      <c r="F106" s="580">
        <v>1700</v>
      </c>
      <c r="G106" s="581">
        <v>0.32</v>
      </c>
      <c r="H106" s="743">
        <v>0.33</v>
      </c>
      <c r="I106" s="575">
        <f t="shared" ref="I106" si="145">E106*(1-G106)</f>
        <v>679.99999999999989</v>
      </c>
      <c r="J106" s="555">
        <f t="shared" ref="J106" si="146">F106*(1-H106)</f>
        <v>1138.9999999999998</v>
      </c>
      <c r="K106" s="575">
        <f t="shared" ref="K106" si="147">E106*G106</f>
        <v>320</v>
      </c>
      <c r="L106" s="452">
        <f t="shared" ref="L106" si="148">F106*H106</f>
        <v>561</v>
      </c>
      <c r="M106" s="574" t="s">
        <v>399</v>
      </c>
      <c r="N106" s="583" t="s">
        <v>400</v>
      </c>
      <c r="O106" s="593">
        <v>0</v>
      </c>
      <c r="P106" s="579">
        <v>10</v>
      </c>
      <c r="Q106" s="575">
        <f t="shared" ref="Q106" si="149">I106*O106</f>
        <v>0</v>
      </c>
      <c r="R106" s="555">
        <f t="shared" ref="R106" si="150">J106*P106</f>
        <v>11389.999999999998</v>
      </c>
      <c r="S106" s="575">
        <f t="shared" ref="S106" si="151">K106*O106</f>
        <v>0</v>
      </c>
      <c r="T106" s="452">
        <f t="shared" ref="T106" si="152">L106*P106</f>
        <v>5610</v>
      </c>
      <c r="W106" s="159" t="s">
        <v>511</v>
      </c>
      <c r="X106" s="579" t="s">
        <v>512</v>
      </c>
      <c r="Y106" s="526">
        <v>2</v>
      </c>
      <c r="Z106" s="468">
        <v>1600</v>
      </c>
      <c r="AA106" s="580">
        <v>2600</v>
      </c>
      <c r="AB106" s="581">
        <v>0.32</v>
      </c>
      <c r="AC106" s="582">
        <v>0.33</v>
      </c>
      <c r="AD106" s="575">
        <f t="shared" si="137"/>
        <v>1088</v>
      </c>
      <c r="AE106" s="555">
        <f t="shared" si="138"/>
        <v>1741.9999999999998</v>
      </c>
      <c r="AF106" s="575">
        <f t="shared" si="139"/>
        <v>512</v>
      </c>
      <c r="AG106" s="452">
        <f t="shared" si="140"/>
        <v>858</v>
      </c>
      <c r="AH106" s="579" t="s">
        <v>400</v>
      </c>
      <c r="AI106" s="583" t="s">
        <v>401</v>
      </c>
      <c r="AJ106" s="593">
        <v>10</v>
      </c>
      <c r="AK106" s="583">
        <v>20</v>
      </c>
      <c r="AL106" s="575">
        <f t="shared" si="141"/>
        <v>10880</v>
      </c>
      <c r="AM106" s="555">
        <f t="shared" si="142"/>
        <v>34839.999999999993</v>
      </c>
      <c r="AN106" s="575">
        <f t="shared" si="143"/>
        <v>5120</v>
      </c>
      <c r="AO106" s="452">
        <f t="shared" si="144"/>
        <v>17160</v>
      </c>
    </row>
    <row r="107" spans="2:41" s="12" customFormat="1" x14ac:dyDescent="0.3">
      <c r="D107" s="752" t="s">
        <v>93</v>
      </c>
      <c r="E107" s="746">
        <f>SUM(E90:E106)</f>
        <v>15825</v>
      </c>
      <c r="F107" s="748">
        <f>SUM(F90:F106)</f>
        <v>31395</v>
      </c>
      <c r="I107" s="746">
        <f>SUM(I90:I106)</f>
        <v>12812.500000000004</v>
      </c>
      <c r="J107" s="747">
        <f>SUM(J90:J106)</f>
        <v>26031.199999999997</v>
      </c>
      <c r="K107" s="746">
        <f>SUM(K90:K106)</f>
        <v>3012.5000000000005</v>
      </c>
      <c r="L107" s="748">
        <f>SUM(L90:L106)</f>
        <v>5363.8</v>
      </c>
      <c r="P107" s="752" t="s">
        <v>93</v>
      </c>
      <c r="Q107" s="590">
        <f>SUM(Q90:Q106)</f>
        <v>43511</v>
      </c>
      <c r="R107" s="591">
        <f>SUM(R90:R106)</f>
        <v>464113</v>
      </c>
      <c r="S107" s="590">
        <f>SUM(S90:S106)</f>
        <v>6889</v>
      </c>
      <c r="T107" s="591">
        <f>SUM(T90:T106)</f>
        <v>88137</v>
      </c>
      <c r="Y107" s="752" t="s">
        <v>93</v>
      </c>
      <c r="Z107" s="746">
        <f>SUM(Z90:Z106)</f>
        <v>44650</v>
      </c>
      <c r="AA107" s="748">
        <f>SUM(AA90:AA106)</f>
        <v>46150</v>
      </c>
      <c r="AD107" s="746">
        <f>SUM(AD90:AD106)</f>
        <v>35053</v>
      </c>
      <c r="AE107" s="747">
        <f>SUM(AE90:AE106)</f>
        <v>38193</v>
      </c>
      <c r="AF107" s="746">
        <f>SUM(AF90:AF106)</f>
        <v>9597</v>
      </c>
      <c r="AG107" s="748">
        <f>SUM(AG90:AG106)</f>
        <v>7957</v>
      </c>
      <c r="AK107" s="736" t="s">
        <v>93</v>
      </c>
      <c r="AL107" s="590">
        <f>SUM(AL90:AL106)</f>
        <v>371030</v>
      </c>
      <c r="AM107" s="591">
        <f>SUM(AM90:AM106)</f>
        <v>1464587.5</v>
      </c>
      <c r="AN107" s="590">
        <f>SUM(AN90:AN106)</f>
        <v>100470</v>
      </c>
      <c r="AO107" s="591">
        <f>SUM(AO90:AO106)</f>
        <v>288162.5</v>
      </c>
    </row>
  </sheetData>
  <mergeCells count="70">
    <mergeCell ref="L2:N2"/>
    <mergeCell ref="O2:Q2"/>
    <mergeCell ref="R2:T2"/>
    <mergeCell ref="C2:E2"/>
    <mergeCell ref="F2:H2"/>
    <mergeCell ref="I2:K2"/>
    <mergeCell ref="Z88:AA88"/>
    <mergeCell ref="AB88:AC88"/>
    <mergeCell ref="AH88:AI88"/>
    <mergeCell ref="AJ88:AK88"/>
    <mergeCell ref="AN88:AO88"/>
    <mergeCell ref="AD88:AE88"/>
    <mergeCell ref="AF88:AG88"/>
    <mergeCell ref="AL88:AM88"/>
    <mergeCell ref="Z67:AA67"/>
    <mergeCell ref="AB67:AC67"/>
    <mergeCell ref="AH67:AI67"/>
    <mergeCell ref="AJ67:AK67"/>
    <mergeCell ref="AN67:AO67"/>
    <mergeCell ref="AD67:AE67"/>
    <mergeCell ref="AF67:AG67"/>
    <mergeCell ref="AL67:AM67"/>
    <mergeCell ref="E88:F88"/>
    <mergeCell ref="G88:H88"/>
    <mergeCell ref="M88:N88"/>
    <mergeCell ref="O88:P88"/>
    <mergeCell ref="S88:T88"/>
    <mergeCell ref="Q88:R88"/>
    <mergeCell ref="I88:J88"/>
    <mergeCell ref="K88:L88"/>
    <mergeCell ref="Z45:AA45"/>
    <mergeCell ref="AB45:AC45"/>
    <mergeCell ref="AH45:AI45"/>
    <mergeCell ref="AJ45:AK45"/>
    <mergeCell ref="AN45:AO45"/>
    <mergeCell ref="AD45:AE45"/>
    <mergeCell ref="AF45:AG45"/>
    <mergeCell ref="AL45:AM45"/>
    <mergeCell ref="E67:F67"/>
    <mergeCell ref="G67:H67"/>
    <mergeCell ref="M67:N67"/>
    <mergeCell ref="O67:P67"/>
    <mergeCell ref="S67:T67"/>
    <mergeCell ref="Q67:R67"/>
    <mergeCell ref="I67:J67"/>
    <mergeCell ref="K67:L67"/>
    <mergeCell ref="Z24:AA24"/>
    <mergeCell ref="AB24:AC24"/>
    <mergeCell ref="AH24:AI24"/>
    <mergeCell ref="AJ24:AK24"/>
    <mergeCell ref="AN24:AO24"/>
    <mergeCell ref="AD24:AE24"/>
    <mergeCell ref="AF24:AG24"/>
    <mergeCell ref="AL24:AM24"/>
    <mergeCell ref="E45:F45"/>
    <mergeCell ref="G45:H45"/>
    <mergeCell ref="M45:N45"/>
    <mergeCell ref="O45:P45"/>
    <mergeCell ref="S45:T45"/>
    <mergeCell ref="Q45:R45"/>
    <mergeCell ref="I45:J45"/>
    <mergeCell ref="K45:L45"/>
    <mergeCell ref="E24:F24"/>
    <mergeCell ref="G24:H24"/>
    <mergeCell ref="M24:N24"/>
    <mergeCell ref="O24:P24"/>
    <mergeCell ref="S24:T24"/>
    <mergeCell ref="I24:J24"/>
    <mergeCell ref="K24:L24"/>
    <mergeCell ref="Q24:R2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I27"/>
  <sheetViews>
    <sheetView workbookViewId="0">
      <pane xSplit="3" ySplit="6" topLeftCell="D7" activePane="bottomRight" state="frozen"/>
      <selection pane="topRight" activeCell="D1" sqref="D1"/>
      <selection pane="bottomLeft" activeCell="A7" sqref="A7"/>
      <selection pane="bottomRight" activeCell="B19" sqref="B19"/>
    </sheetView>
  </sheetViews>
  <sheetFormatPr defaultRowHeight="14.4" x14ac:dyDescent="0.3"/>
  <cols>
    <col min="1" max="1" width="3.33203125" customWidth="1"/>
    <col min="2" max="2" width="19.33203125" bestFit="1" customWidth="1"/>
    <col min="4" max="4" width="8.88671875" style="1"/>
    <col min="5" max="5" width="12" style="1" customWidth="1"/>
    <col min="6" max="6" width="9" style="1" bestFit="1" customWidth="1"/>
    <col min="7" max="7" width="12.21875" style="1" customWidth="1"/>
    <col min="9" max="9" width="10.5546875" customWidth="1"/>
  </cols>
  <sheetData>
    <row r="1" spans="2:9" ht="9" customHeight="1" x14ac:dyDescent="0.3"/>
    <row r="2" spans="2:9" ht="18" x14ac:dyDescent="0.35">
      <c r="B2" s="186" t="s">
        <v>555</v>
      </c>
      <c r="C2" s="184"/>
      <c r="D2" s="185"/>
      <c r="E2" s="185"/>
      <c r="F2" s="185"/>
      <c r="G2" s="185" t="s">
        <v>95</v>
      </c>
      <c r="H2" s="606">
        <v>260</v>
      </c>
      <c r="I2" s="184" t="s">
        <v>556</v>
      </c>
    </row>
    <row r="3" spans="2:9" x14ac:dyDescent="0.3">
      <c r="B3" s="184"/>
      <c r="C3" s="184"/>
      <c r="D3" s="185"/>
      <c r="E3" s="185"/>
      <c r="F3" s="185"/>
      <c r="G3" s="185" t="s">
        <v>4</v>
      </c>
      <c r="H3" s="606">
        <v>365</v>
      </c>
      <c r="I3" s="605" t="s">
        <v>556</v>
      </c>
    </row>
    <row r="4" spans="2:9" x14ac:dyDescent="0.3">
      <c r="B4" s="184"/>
      <c r="C4" s="184"/>
      <c r="D4" s="185"/>
      <c r="E4" s="185"/>
      <c r="F4" s="185"/>
      <c r="G4" s="185"/>
      <c r="H4" s="184"/>
      <c r="I4" s="184"/>
    </row>
    <row r="5" spans="2:9" x14ac:dyDescent="0.3">
      <c r="B5" s="184"/>
      <c r="C5" s="184"/>
      <c r="D5" s="791">
        <v>2020</v>
      </c>
      <c r="E5" s="791"/>
      <c r="F5" s="791">
        <v>2040</v>
      </c>
      <c r="G5" s="791"/>
      <c r="H5" s="184"/>
      <c r="I5" s="184"/>
    </row>
    <row r="6" spans="2:9" x14ac:dyDescent="0.3">
      <c r="B6" s="184"/>
      <c r="C6" s="184"/>
      <c r="D6" s="735" t="s">
        <v>554</v>
      </c>
      <c r="E6" s="735" t="s">
        <v>33</v>
      </c>
      <c r="F6" s="735" t="s">
        <v>554</v>
      </c>
      <c r="G6" s="735" t="s">
        <v>33</v>
      </c>
      <c r="H6" s="184"/>
      <c r="I6" s="184"/>
    </row>
    <row r="7" spans="2:9" x14ac:dyDescent="0.3">
      <c r="B7" s="199" t="s">
        <v>553</v>
      </c>
      <c r="C7" s="340"/>
      <c r="D7" s="607"/>
      <c r="E7" s="607"/>
      <c r="F7" s="607"/>
      <c r="G7" s="607"/>
      <c r="H7" s="174"/>
      <c r="I7" s="174"/>
    </row>
    <row r="8" spans="2:9" x14ac:dyDescent="0.3">
      <c r="B8" s="193" t="s">
        <v>237</v>
      </c>
      <c r="C8" s="193" t="s">
        <v>95</v>
      </c>
      <c r="D8" s="342">
        <f>VMT!C3</f>
        <v>309816</v>
      </c>
      <c r="E8" s="342">
        <f>D8*H2</f>
        <v>80552160</v>
      </c>
      <c r="F8" s="342">
        <f>VMT!D3</f>
        <v>574888</v>
      </c>
      <c r="G8" s="342">
        <f>F8*H2</f>
        <v>149470880</v>
      </c>
      <c r="H8" s="174"/>
      <c r="I8" s="174"/>
    </row>
    <row r="9" spans="2:9" x14ac:dyDescent="0.3">
      <c r="B9" s="193" t="s">
        <v>237</v>
      </c>
      <c r="C9" s="193" t="s">
        <v>4</v>
      </c>
      <c r="D9" s="342">
        <f>VMT!C4</f>
        <v>63456</v>
      </c>
      <c r="E9" s="342">
        <f>D9*H3</f>
        <v>23161440</v>
      </c>
      <c r="F9" s="342">
        <f>VMT!D4</f>
        <v>117748</v>
      </c>
      <c r="G9" s="342">
        <f>F9*H3</f>
        <v>42978020</v>
      </c>
      <c r="H9" s="174"/>
      <c r="I9" s="174"/>
    </row>
    <row r="10" spans="2:9" x14ac:dyDescent="0.3">
      <c r="B10" s="193" t="s">
        <v>237</v>
      </c>
      <c r="C10" s="193" t="s">
        <v>93</v>
      </c>
      <c r="D10" s="342">
        <f>D8+D9</f>
        <v>373272</v>
      </c>
      <c r="E10" s="342">
        <f t="shared" ref="E10:G10" si="0">E8+E9</f>
        <v>103713600</v>
      </c>
      <c r="F10" s="342">
        <f t="shared" si="0"/>
        <v>692636</v>
      </c>
      <c r="G10" s="342">
        <f t="shared" si="0"/>
        <v>192448900</v>
      </c>
      <c r="H10" s="174"/>
      <c r="I10" s="174"/>
    </row>
    <row r="11" spans="2:9" x14ac:dyDescent="0.3">
      <c r="B11" s="194" t="s">
        <v>557</v>
      </c>
      <c r="C11" s="194" t="s">
        <v>95</v>
      </c>
      <c r="D11" s="608">
        <f>'LOS to Delay'!AB6</f>
        <v>1275.5518333333334</v>
      </c>
      <c r="E11" s="608">
        <f>D11*H2</f>
        <v>331643.47666666668</v>
      </c>
      <c r="F11" s="608">
        <f>'LOS to Delay'!AV6</f>
        <v>3316.934055555555</v>
      </c>
      <c r="G11" s="608">
        <f>F11*H2</f>
        <v>862402.8544444443</v>
      </c>
      <c r="H11" s="174"/>
      <c r="I11" s="174"/>
    </row>
    <row r="12" spans="2:9" x14ac:dyDescent="0.3">
      <c r="B12" s="194" t="s">
        <v>557</v>
      </c>
      <c r="C12" s="194" t="s">
        <v>4</v>
      </c>
      <c r="D12" s="608">
        <f>'LOS to Delay'!AB7</f>
        <v>210.77872222222223</v>
      </c>
      <c r="E12" s="608">
        <f>D12*H3</f>
        <v>76934.233611111107</v>
      </c>
      <c r="F12" s="608">
        <f>'LOS to Delay'!AV7</f>
        <v>615.4798333333332</v>
      </c>
      <c r="G12" s="608">
        <f>F12*H3</f>
        <v>224650.13916666663</v>
      </c>
      <c r="H12" s="174"/>
      <c r="I12" s="174"/>
    </row>
    <row r="13" spans="2:9" x14ac:dyDescent="0.3">
      <c r="B13" s="194" t="s">
        <v>557</v>
      </c>
      <c r="C13" s="194" t="s">
        <v>93</v>
      </c>
      <c r="D13" s="608">
        <f>D11+D12</f>
        <v>1486.3305555555557</v>
      </c>
      <c r="E13" s="608">
        <f t="shared" ref="E13:G13" si="1">E11+E12</f>
        <v>408577.71027777781</v>
      </c>
      <c r="F13" s="608">
        <f t="shared" si="1"/>
        <v>3932.4138888888883</v>
      </c>
      <c r="G13" s="608">
        <f t="shared" si="1"/>
        <v>1087052.9936111108</v>
      </c>
      <c r="H13" s="174"/>
      <c r="I13" s="174"/>
    </row>
    <row r="14" spans="2:9" x14ac:dyDescent="0.3">
      <c r="B14" s="199" t="s">
        <v>503</v>
      </c>
      <c r="C14" s="199"/>
      <c r="D14" s="323"/>
      <c r="E14" s="200"/>
      <c r="F14" s="200"/>
      <c r="G14" s="200"/>
      <c r="H14" s="174"/>
      <c r="I14" s="174"/>
    </row>
    <row r="15" spans="2:9" x14ac:dyDescent="0.3">
      <c r="B15" s="193" t="s">
        <v>237</v>
      </c>
      <c r="C15" s="193" t="s">
        <v>95</v>
      </c>
      <c r="D15" s="342">
        <f>VMT!C3</f>
        <v>309816</v>
      </c>
      <c r="E15" s="342">
        <f>D15*H2</f>
        <v>80552160</v>
      </c>
      <c r="F15" s="342">
        <f>VMT!D3</f>
        <v>574888</v>
      </c>
      <c r="G15" s="342">
        <f>F15*H2</f>
        <v>149470880</v>
      </c>
      <c r="H15" s="174"/>
      <c r="I15" s="174"/>
    </row>
    <row r="16" spans="2:9" x14ac:dyDescent="0.3">
      <c r="B16" s="193" t="s">
        <v>237</v>
      </c>
      <c r="C16" s="193" t="s">
        <v>4</v>
      </c>
      <c r="D16" s="342">
        <f>VMT!C4</f>
        <v>63456</v>
      </c>
      <c r="E16" s="342">
        <f>D16*H3</f>
        <v>23161440</v>
      </c>
      <c r="F16" s="342">
        <f>VMT!D4</f>
        <v>117748</v>
      </c>
      <c r="G16" s="342">
        <f>F16*H3</f>
        <v>42978020</v>
      </c>
      <c r="H16" s="174"/>
      <c r="I16" s="174"/>
    </row>
    <row r="17" spans="2:9" x14ac:dyDescent="0.3">
      <c r="B17" s="193" t="s">
        <v>237</v>
      </c>
      <c r="C17" s="193" t="s">
        <v>93</v>
      </c>
      <c r="D17" s="342">
        <f>D15+D16</f>
        <v>373272</v>
      </c>
      <c r="E17" s="342">
        <f t="shared" ref="E17" si="2">E15+E16</f>
        <v>103713600</v>
      </c>
      <c r="F17" s="342">
        <f t="shared" ref="F17" si="3">F15+F16</f>
        <v>692636</v>
      </c>
      <c r="G17" s="342">
        <f t="shared" ref="G17" si="4">G15+G16</f>
        <v>192448900</v>
      </c>
      <c r="H17" s="174"/>
      <c r="I17" s="174"/>
    </row>
    <row r="18" spans="2:9" x14ac:dyDescent="0.3">
      <c r="B18" s="194" t="s">
        <v>557</v>
      </c>
      <c r="C18" s="194" t="s">
        <v>95</v>
      </c>
      <c r="D18" s="608">
        <f>'LOS to Delay'!AB10</f>
        <v>754.39666666666676</v>
      </c>
      <c r="E18" s="608">
        <f>D18*H2</f>
        <v>196143.13333333336</v>
      </c>
      <c r="F18" s="608">
        <f>'LOS to Delay'!AV10</f>
        <v>2115.9772222222223</v>
      </c>
      <c r="G18" s="608">
        <f>F18*H2</f>
        <v>550154.0777777778</v>
      </c>
      <c r="H18" s="174"/>
      <c r="I18" s="174"/>
    </row>
    <row r="19" spans="2:9" x14ac:dyDescent="0.3">
      <c r="B19" s="194" t="s">
        <v>557</v>
      </c>
      <c r="C19" s="194" t="s">
        <v>4</v>
      </c>
      <c r="D19" s="608">
        <f>'LOS to Delay'!AB11</f>
        <v>131.92833333333334</v>
      </c>
      <c r="E19" s="608">
        <f>D19*H3</f>
        <v>48153.841666666667</v>
      </c>
      <c r="F19" s="608">
        <f>'LOS to Delay'!AV11</f>
        <v>413.04222222222222</v>
      </c>
      <c r="G19" s="608">
        <f>F19*H3</f>
        <v>150760.41111111111</v>
      </c>
      <c r="H19" s="174"/>
      <c r="I19" s="174"/>
    </row>
    <row r="20" spans="2:9" x14ac:dyDescent="0.3">
      <c r="B20" s="194" t="s">
        <v>557</v>
      </c>
      <c r="C20" s="194" t="s">
        <v>93</v>
      </c>
      <c r="D20" s="608">
        <f>D18+D19</f>
        <v>886.32500000000005</v>
      </c>
      <c r="E20" s="608">
        <f t="shared" ref="E20:G20" si="5">E18+E19</f>
        <v>244296.97500000003</v>
      </c>
      <c r="F20" s="608">
        <f t="shared" si="5"/>
        <v>2529.0194444444446</v>
      </c>
      <c r="G20" s="608">
        <f t="shared" si="5"/>
        <v>700914.48888888885</v>
      </c>
      <c r="H20" s="174"/>
      <c r="I20" s="174"/>
    </row>
    <row r="21" spans="2:9" x14ac:dyDescent="0.3">
      <c r="B21" s="199" t="s">
        <v>231</v>
      </c>
      <c r="C21" s="199"/>
      <c r="D21" s="323"/>
      <c r="E21" s="323"/>
      <c r="F21" s="323"/>
      <c r="G21" s="323"/>
      <c r="H21" s="174"/>
      <c r="I21" s="174"/>
    </row>
    <row r="22" spans="2:9" x14ac:dyDescent="0.3">
      <c r="B22" s="611" t="s">
        <v>237</v>
      </c>
      <c r="C22" s="611" t="s">
        <v>95</v>
      </c>
      <c r="D22" s="342">
        <f t="shared" ref="D22:G27" si="6">D15-D8</f>
        <v>0</v>
      </c>
      <c r="E22" s="610">
        <f t="shared" si="6"/>
        <v>0</v>
      </c>
      <c r="F22" s="342">
        <f t="shared" si="6"/>
        <v>0</v>
      </c>
      <c r="G22" s="610">
        <f t="shared" si="6"/>
        <v>0</v>
      </c>
      <c r="H22" s="174"/>
      <c r="I22" s="174"/>
    </row>
    <row r="23" spans="2:9" x14ac:dyDescent="0.3">
      <c r="B23" s="611" t="s">
        <v>237</v>
      </c>
      <c r="C23" s="611" t="s">
        <v>4</v>
      </c>
      <c r="D23" s="342">
        <f t="shared" si="6"/>
        <v>0</v>
      </c>
      <c r="E23" s="610">
        <f t="shared" si="6"/>
        <v>0</v>
      </c>
      <c r="F23" s="342">
        <f t="shared" si="6"/>
        <v>0</v>
      </c>
      <c r="G23" s="610">
        <f t="shared" si="6"/>
        <v>0</v>
      </c>
      <c r="H23" s="174"/>
      <c r="I23" s="174"/>
    </row>
    <row r="24" spans="2:9" x14ac:dyDescent="0.3">
      <c r="B24" s="611" t="s">
        <v>237</v>
      </c>
      <c r="C24" s="611" t="s">
        <v>93</v>
      </c>
      <c r="D24" s="342">
        <f t="shared" si="6"/>
        <v>0</v>
      </c>
      <c r="E24" s="610">
        <f t="shared" si="6"/>
        <v>0</v>
      </c>
      <c r="F24" s="342">
        <f t="shared" si="6"/>
        <v>0</v>
      </c>
      <c r="G24" s="610">
        <f t="shared" si="6"/>
        <v>0</v>
      </c>
      <c r="H24" s="174"/>
      <c r="I24" s="174"/>
    </row>
    <row r="25" spans="2:9" x14ac:dyDescent="0.3">
      <c r="B25" s="178" t="s">
        <v>557</v>
      </c>
      <c r="C25" s="178" t="s">
        <v>95</v>
      </c>
      <c r="D25" s="608">
        <f t="shared" si="6"/>
        <v>-521.15516666666667</v>
      </c>
      <c r="E25" s="609">
        <f t="shared" si="6"/>
        <v>-135500.34333333332</v>
      </c>
      <c r="F25" s="608">
        <f t="shared" si="6"/>
        <v>-1200.9568333333327</v>
      </c>
      <c r="G25" s="609">
        <f t="shared" si="6"/>
        <v>-312248.7766666665</v>
      </c>
      <c r="H25" s="174"/>
      <c r="I25" s="174"/>
    </row>
    <row r="26" spans="2:9" x14ac:dyDescent="0.3">
      <c r="B26" s="178" t="s">
        <v>557</v>
      </c>
      <c r="C26" s="178" t="s">
        <v>4</v>
      </c>
      <c r="D26" s="608">
        <f t="shared" si="6"/>
        <v>-78.850388888888887</v>
      </c>
      <c r="E26" s="609">
        <f t="shared" si="6"/>
        <v>-28780.39194444444</v>
      </c>
      <c r="F26" s="608">
        <f t="shared" si="6"/>
        <v>-202.43761111111098</v>
      </c>
      <c r="G26" s="609">
        <f t="shared" si="6"/>
        <v>-73889.728055555519</v>
      </c>
      <c r="H26" s="174"/>
      <c r="I26" s="174"/>
    </row>
    <row r="27" spans="2:9" x14ac:dyDescent="0.3">
      <c r="B27" s="178" t="s">
        <v>557</v>
      </c>
      <c r="C27" s="178" t="s">
        <v>93</v>
      </c>
      <c r="D27" s="608">
        <f t="shared" si="6"/>
        <v>-600.0055555555557</v>
      </c>
      <c r="E27" s="609">
        <f t="shared" si="6"/>
        <v>-164280.73527777777</v>
      </c>
      <c r="F27" s="608">
        <f t="shared" si="6"/>
        <v>-1403.3944444444437</v>
      </c>
      <c r="G27" s="609">
        <f t="shared" si="6"/>
        <v>-386138.50472222199</v>
      </c>
      <c r="H27" s="174"/>
      <c r="I27" s="174"/>
    </row>
  </sheetData>
  <mergeCells count="2">
    <mergeCell ref="D5:E5"/>
    <mergeCell ref="F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AB36"/>
  <sheetViews>
    <sheetView workbookViewId="0">
      <pane xSplit="4" ySplit="7" topLeftCell="F8" activePane="bottomRight" state="frozen"/>
      <selection pane="topRight" activeCell="E1" sqref="E1"/>
      <selection pane="bottomLeft" activeCell="A8" sqref="A8"/>
      <selection pane="bottomRight" activeCell="H30" sqref="H30"/>
    </sheetView>
  </sheetViews>
  <sheetFormatPr defaultRowHeight="14.4" x14ac:dyDescent="0.3"/>
  <cols>
    <col min="1" max="1" width="3.33203125" customWidth="1"/>
    <col min="2" max="2" width="19.33203125" bestFit="1" customWidth="1"/>
    <col min="5" max="5" width="12.88671875" customWidth="1"/>
    <col min="6" max="6" width="5.5546875" bestFit="1" customWidth="1"/>
    <col min="7" max="7" width="14.21875" bestFit="1" customWidth="1"/>
    <col min="8" max="27" width="12" style="1" customWidth="1"/>
    <col min="28" max="28" width="12.21875" style="1" customWidth="1"/>
  </cols>
  <sheetData>
    <row r="1" spans="2:28" ht="9" customHeight="1" x14ac:dyDescent="0.3"/>
    <row r="2" spans="2:28" ht="18" x14ac:dyDescent="0.35">
      <c r="B2" s="186" t="s">
        <v>467</v>
      </c>
      <c r="C2" s="184"/>
      <c r="D2" s="184"/>
      <c r="E2" s="184"/>
      <c r="F2" s="184"/>
      <c r="G2" s="184"/>
      <c r="H2" s="185"/>
      <c r="I2" s="185"/>
      <c r="J2" s="185"/>
      <c r="K2" s="185"/>
      <c r="L2" s="185"/>
      <c r="M2" s="185"/>
      <c r="N2" s="185"/>
      <c r="O2" s="185"/>
      <c r="P2" s="185"/>
      <c r="Q2" s="185"/>
      <c r="R2" s="185"/>
      <c r="S2" s="185"/>
      <c r="T2" s="185"/>
      <c r="U2" s="185"/>
      <c r="V2" s="185"/>
      <c r="W2" s="185"/>
      <c r="X2" s="185"/>
      <c r="Y2" s="185"/>
      <c r="Z2" s="185"/>
      <c r="AA2" s="185"/>
      <c r="AB2" s="185"/>
    </row>
    <row r="3" spans="2:28" x14ac:dyDescent="0.3">
      <c r="B3" s="184"/>
      <c r="C3" s="184"/>
      <c r="D3" s="184"/>
      <c r="E3" s="184"/>
      <c r="F3" s="184"/>
      <c r="G3" s="184"/>
      <c r="H3" s="185"/>
      <c r="I3" s="185"/>
      <c r="J3" s="185"/>
      <c r="K3" s="185"/>
      <c r="L3" s="185"/>
      <c r="M3" s="185"/>
      <c r="N3" s="185"/>
      <c r="O3" s="185"/>
      <c r="P3" s="185"/>
      <c r="Q3" s="185"/>
      <c r="R3" s="185"/>
      <c r="S3" s="185"/>
      <c r="T3" s="185"/>
      <c r="U3" s="185"/>
      <c r="V3" s="185"/>
      <c r="W3" s="185"/>
      <c r="X3" s="185"/>
      <c r="Y3" s="185"/>
      <c r="Z3" s="185"/>
      <c r="AA3" s="185"/>
      <c r="AB3" s="185"/>
    </row>
    <row r="4" spans="2:28" x14ac:dyDescent="0.3">
      <c r="B4" s="184"/>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row>
    <row r="5" spans="2:28" x14ac:dyDescent="0.3">
      <c r="B5" s="184"/>
      <c r="C5" s="184"/>
      <c r="D5" s="184"/>
      <c r="E5" s="185" t="s">
        <v>229</v>
      </c>
      <c r="F5" s="185"/>
      <c r="G5" s="185"/>
      <c r="H5" s="185">
        <v>0</v>
      </c>
      <c r="I5" s="185">
        <v>1</v>
      </c>
      <c r="J5" s="185">
        <v>2</v>
      </c>
      <c r="K5" s="185">
        <v>3</v>
      </c>
      <c r="L5" s="185">
        <v>4</v>
      </c>
      <c r="M5" s="185">
        <v>5</v>
      </c>
      <c r="N5" s="185">
        <v>6</v>
      </c>
      <c r="O5" s="185">
        <v>7</v>
      </c>
      <c r="P5" s="185">
        <v>8</v>
      </c>
      <c r="Q5" s="185">
        <v>9</v>
      </c>
      <c r="R5" s="185">
        <v>10</v>
      </c>
      <c r="S5" s="185">
        <v>11</v>
      </c>
      <c r="T5" s="185">
        <v>12</v>
      </c>
      <c r="U5" s="185">
        <v>13</v>
      </c>
      <c r="V5" s="185">
        <v>14</v>
      </c>
      <c r="W5" s="185">
        <v>15</v>
      </c>
      <c r="X5" s="185">
        <v>16</v>
      </c>
      <c r="Y5" s="185">
        <v>17</v>
      </c>
      <c r="Z5" s="185">
        <v>18</v>
      </c>
      <c r="AA5" s="185">
        <v>19</v>
      </c>
      <c r="AB5" s="185">
        <v>20</v>
      </c>
    </row>
    <row r="6" spans="2:28" ht="28.8" x14ac:dyDescent="0.3">
      <c r="B6" s="184"/>
      <c r="C6" s="184"/>
      <c r="D6" s="184"/>
      <c r="E6" s="614" t="s">
        <v>558</v>
      </c>
      <c r="F6" s="614"/>
      <c r="G6" s="614"/>
      <c r="H6" s="735">
        <v>2020</v>
      </c>
      <c r="I6" s="735">
        <v>2021</v>
      </c>
      <c r="J6" s="735">
        <v>2022</v>
      </c>
      <c r="K6" s="735">
        <v>2023</v>
      </c>
      <c r="L6" s="735">
        <v>2024</v>
      </c>
      <c r="M6" s="735">
        <v>2025</v>
      </c>
      <c r="N6" s="735">
        <v>2026</v>
      </c>
      <c r="O6" s="735">
        <v>2027</v>
      </c>
      <c r="P6" s="735">
        <v>2028</v>
      </c>
      <c r="Q6" s="735">
        <v>2029</v>
      </c>
      <c r="R6" s="735">
        <v>2030</v>
      </c>
      <c r="S6" s="735">
        <v>2031</v>
      </c>
      <c r="T6" s="735">
        <v>2032</v>
      </c>
      <c r="U6" s="735">
        <v>2033</v>
      </c>
      <c r="V6" s="735">
        <v>2034</v>
      </c>
      <c r="W6" s="735">
        <v>2035</v>
      </c>
      <c r="X6" s="735">
        <v>2036</v>
      </c>
      <c r="Y6" s="735">
        <v>2037</v>
      </c>
      <c r="Z6" s="735">
        <v>2038</v>
      </c>
      <c r="AA6" s="735">
        <v>2039</v>
      </c>
      <c r="AB6" s="735">
        <v>2040</v>
      </c>
    </row>
    <row r="7" spans="2:28" x14ac:dyDescent="0.3">
      <c r="B7" s="199" t="s">
        <v>553</v>
      </c>
      <c r="C7" s="199"/>
      <c r="D7" s="199"/>
      <c r="E7" s="199"/>
      <c r="F7" s="199"/>
      <c r="G7" s="199"/>
      <c r="H7" s="323"/>
      <c r="I7" s="323"/>
      <c r="J7" s="323"/>
      <c r="K7" s="323"/>
      <c r="L7" s="323"/>
      <c r="M7" s="323"/>
      <c r="N7" s="323"/>
      <c r="O7" s="323"/>
      <c r="P7" s="323"/>
      <c r="Q7" s="323"/>
      <c r="R7" s="323"/>
      <c r="S7" s="323"/>
      <c r="T7" s="323"/>
      <c r="U7" s="323"/>
      <c r="V7" s="323"/>
      <c r="W7" s="323"/>
      <c r="X7" s="323"/>
      <c r="Y7" s="323"/>
      <c r="Z7" s="323"/>
      <c r="AA7" s="323"/>
      <c r="AB7" s="323"/>
    </row>
    <row r="8" spans="2:28" x14ac:dyDescent="0.3">
      <c r="B8" s="611" t="s">
        <v>237</v>
      </c>
      <c r="C8" s="611" t="s">
        <v>95</v>
      </c>
      <c r="D8" s="611"/>
      <c r="E8" s="617">
        <f t="shared" ref="E8:E13" si="0">(AB8-H8)/20</f>
        <v>3445936</v>
      </c>
      <c r="F8" s="617"/>
      <c r="G8" s="617"/>
      <c r="H8" s="612">
        <f>Annualized!E8</f>
        <v>80552160</v>
      </c>
      <c r="I8" s="182">
        <f t="shared" ref="I8:I13" si="1">H8+$E8</f>
        <v>83998096</v>
      </c>
      <c r="J8" s="182">
        <f t="shared" ref="J8:Y13" si="2">I8+$E8</f>
        <v>87444032</v>
      </c>
      <c r="K8" s="182">
        <f t="shared" si="2"/>
        <v>90889968</v>
      </c>
      <c r="L8" s="182">
        <f t="shared" si="2"/>
        <v>94335904</v>
      </c>
      <c r="M8" s="182">
        <f t="shared" si="2"/>
        <v>97781840</v>
      </c>
      <c r="N8" s="182">
        <f t="shared" si="2"/>
        <v>101227776</v>
      </c>
      <c r="O8" s="182">
        <f t="shared" si="2"/>
        <v>104673712</v>
      </c>
      <c r="P8" s="182">
        <f t="shared" si="2"/>
        <v>108119648</v>
      </c>
      <c r="Q8" s="182">
        <f t="shared" si="2"/>
        <v>111565584</v>
      </c>
      <c r="R8" s="182">
        <f t="shared" si="2"/>
        <v>115011520</v>
      </c>
      <c r="S8" s="182">
        <f t="shared" si="2"/>
        <v>118457456</v>
      </c>
      <c r="T8" s="182">
        <f t="shared" si="2"/>
        <v>121903392</v>
      </c>
      <c r="U8" s="182">
        <f t="shared" si="2"/>
        <v>125349328</v>
      </c>
      <c r="V8" s="182">
        <f t="shared" si="2"/>
        <v>128795264</v>
      </c>
      <c r="W8" s="182">
        <f t="shared" si="2"/>
        <v>132241200</v>
      </c>
      <c r="X8" s="182">
        <f t="shared" si="2"/>
        <v>135687136</v>
      </c>
      <c r="Y8" s="182">
        <f t="shared" si="2"/>
        <v>139133072</v>
      </c>
      <c r="Z8" s="182">
        <f t="shared" ref="Z8:AA13" si="3">Y8+$E8</f>
        <v>142579008</v>
      </c>
      <c r="AA8" s="182">
        <f t="shared" si="3"/>
        <v>146024944</v>
      </c>
      <c r="AB8" s="612">
        <f>Annualized!G8</f>
        <v>149470880</v>
      </c>
    </row>
    <row r="9" spans="2:28" x14ac:dyDescent="0.3">
      <c r="B9" s="611" t="s">
        <v>237</v>
      </c>
      <c r="C9" s="611" t="s">
        <v>4</v>
      </c>
      <c r="D9" s="611"/>
      <c r="E9" s="617">
        <f t="shared" si="0"/>
        <v>990829</v>
      </c>
      <c r="F9" s="617"/>
      <c r="G9" s="617"/>
      <c r="H9" s="612">
        <f>Annualized!E9</f>
        <v>23161440</v>
      </c>
      <c r="I9" s="182">
        <f t="shared" si="1"/>
        <v>24152269</v>
      </c>
      <c r="J9" s="182">
        <f t="shared" si="2"/>
        <v>25143098</v>
      </c>
      <c r="K9" s="182">
        <f t="shared" si="2"/>
        <v>26133927</v>
      </c>
      <c r="L9" s="182">
        <f t="shared" si="2"/>
        <v>27124756</v>
      </c>
      <c r="M9" s="182">
        <f t="shared" si="2"/>
        <v>28115585</v>
      </c>
      <c r="N9" s="182">
        <f t="shared" si="2"/>
        <v>29106414</v>
      </c>
      <c r="O9" s="182">
        <f t="shared" si="2"/>
        <v>30097243</v>
      </c>
      <c r="P9" s="182">
        <f t="shared" si="2"/>
        <v>31088072</v>
      </c>
      <c r="Q9" s="182">
        <f t="shared" si="2"/>
        <v>32078901</v>
      </c>
      <c r="R9" s="182">
        <f t="shared" si="2"/>
        <v>33069730</v>
      </c>
      <c r="S9" s="182">
        <f t="shared" si="2"/>
        <v>34060559</v>
      </c>
      <c r="T9" s="182">
        <f t="shared" si="2"/>
        <v>35051388</v>
      </c>
      <c r="U9" s="182">
        <f t="shared" si="2"/>
        <v>36042217</v>
      </c>
      <c r="V9" s="182">
        <f t="shared" si="2"/>
        <v>37033046</v>
      </c>
      <c r="W9" s="182">
        <f t="shared" si="2"/>
        <v>38023875</v>
      </c>
      <c r="X9" s="182">
        <f t="shared" si="2"/>
        <v>39014704</v>
      </c>
      <c r="Y9" s="182">
        <f t="shared" si="2"/>
        <v>40005533</v>
      </c>
      <c r="Z9" s="182">
        <f t="shared" si="3"/>
        <v>40996362</v>
      </c>
      <c r="AA9" s="182">
        <f t="shared" si="3"/>
        <v>41987191</v>
      </c>
      <c r="AB9" s="612">
        <f>Annualized!G9</f>
        <v>42978020</v>
      </c>
    </row>
    <row r="10" spans="2:28" x14ac:dyDescent="0.3">
      <c r="B10" s="611" t="s">
        <v>237</v>
      </c>
      <c r="C10" s="611" t="s">
        <v>93</v>
      </c>
      <c r="D10" s="611"/>
      <c r="E10" s="617">
        <f t="shared" si="0"/>
        <v>4436765</v>
      </c>
      <c r="F10" s="617"/>
      <c r="G10" s="617"/>
      <c r="H10" s="612">
        <f>Annualized!E10</f>
        <v>103713600</v>
      </c>
      <c r="I10" s="182">
        <f t="shared" si="1"/>
        <v>108150365</v>
      </c>
      <c r="J10" s="182">
        <f t="shared" si="2"/>
        <v>112587130</v>
      </c>
      <c r="K10" s="182">
        <f t="shared" si="2"/>
        <v>117023895</v>
      </c>
      <c r="L10" s="182">
        <f t="shared" si="2"/>
        <v>121460660</v>
      </c>
      <c r="M10" s="182">
        <f t="shared" si="2"/>
        <v>125897425</v>
      </c>
      <c r="N10" s="182">
        <f t="shared" si="2"/>
        <v>130334190</v>
      </c>
      <c r="O10" s="182">
        <f t="shared" si="2"/>
        <v>134770955</v>
      </c>
      <c r="P10" s="182">
        <f t="shared" si="2"/>
        <v>139207720</v>
      </c>
      <c r="Q10" s="182">
        <f t="shared" si="2"/>
        <v>143644485</v>
      </c>
      <c r="R10" s="182">
        <f t="shared" si="2"/>
        <v>148081250</v>
      </c>
      <c r="S10" s="182">
        <f t="shared" si="2"/>
        <v>152518015</v>
      </c>
      <c r="T10" s="182">
        <f t="shared" si="2"/>
        <v>156954780</v>
      </c>
      <c r="U10" s="182">
        <f t="shared" si="2"/>
        <v>161391545</v>
      </c>
      <c r="V10" s="182">
        <f t="shared" si="2"/>
        <v>165828310</v>
      </c>
      <c r="W10" s="182">
        <f t="shared" si="2"/>
        <v>170265075</v>
      </c>
      <c r="X10" s="182">
        <f t="shared" si="2"/>
        <v>174701840</v>
      </c>
      <c r="Y10" s="182">
        <f t="shared" si="2"/>
        <v>179138605</v>
      </c>
      <c r="Z10" s="182">
        <f t="shared" si="3"/>
        <v>183575370</v>
      </c>
      <c r="AA10" s="182">
        <f t="shared" si="3"/>
        <v>188012135</v>
      </c>
      <c r="AB10" s="612">
        <f>Annualized!G10</f>
        <v>192448900</v>
      </c>
    </row>
    <row r="11" spans="2:28" x14ac:dyDescent="0.3">
      <c r="B11" s="178" t="s">
        <v>557</v>
      </c>
      <c r="C11" s="178" t="s">
        <v>95</v>
      </c>
      <c r="D11" s="178"/>
      <c r="E11" s="616">
        <f t="shared" si="0"/>
        <v>26537.968888888881</v>
      </c>
      <c r="F11" s="616"/>
      <c r="G11" s="616"/>
      <c r="H11" s="613">
        <f>Annualized!E11</f>
        <v>331643.47666666668</v>
      </c>
      <c r="I11" s="183">
        <f t="shared" si="1"/>
        <v>358181.44555555558</v>
      </c>
      <c r="J11" s="183">
        <f t="shared" si="2"/>
        <v>384719.41444444447</v>
      </c>
      <c r="K11" s="183">
        <f t="shared" si="2"/>
        <v>411257.38333333336</v>
      </c>
      <c r="L11" s="183">
        <f t="shared" si="2"/>
        <v>437795.35222222225</v>
      </c>
      <c r="M11" s="183">
        <f t="shared" si="2"/>
        <v>464333.32111111115</v>
      </c>
      <c r="N11" s="183">
        <f t="shared" si="2"/>
        <v>490871.29000000004</v>
      </c>
      <c r="O11" s="183">
        <f t="shared" si="2"/>
        <v>517409.25888888893</v>
      </c>
      <c r="P11" s="183">
        <f t="shared" si="2"/>
        <v>543947.22777777782</v>
      </c>
      <c r="Q11" s="183">
        <f t="shared" si="2"/>
        <v>570485.19666666666</v>
      </c>
      <c r="R11" s="183">
        <f t="shared" si="2"/>
        <v>597023.16555555549</v>
      </c>
      <c r="S11" s="183">
        <f t="shared" si="2"/>
        <v>623561.13444444432</v>
      </c>
      <c r="T11" s="183">
        <f t="shared" si="2"/>
        <v>650099.10333333316</v>
      </c>
      <c r="U11" s="183">
        <f t="shared" si="2"/>
        <v>676637.07222222199</v>
      </c>
      <c r="V11" s="183">
        <f t="shared" si="2"/>
        <v>703175.04111111083</v>
      </c>
      <c r="W11" s="183">
        <f t="shared" si="2"/>
        <v>729713.00999999966</v>
      </c>
      <c r="X11" s="183">
        <f t="shared" si="2"/>
        <v>756250.97888888849</v>
      </c>
      <c r="Y11" s="183">
        <f t="shared" si="2"/>
        <v>782788.94777777733</v>
      </c>
      <c r="Z11" s="183">
        <f t="shared" si="3"/>
        <v>809326.91666666616</v>
      </c>
      <c r="AA11" s="183">
        <f t="shared" si="3"/>
        <v>835864.885555555</v>
      </c>
      <c r="AB11" s="613">
        <f>Annualized!G11</f>
        <v>862402.8544444443</v>
      </c>
    </row>
    <row r="12" spans="2:28" x14ac:dyDescent="0.3">
      <c r="B12" s="178" t="s">
        <v>557</v>
      </c>
      <c r="C12" s="178" t="s">
        <v>4</v>
      </c>
      <c r="D12" s="178"/>
      <c r="E12" s="616">
        <f t="shared" si="0"/>
        <v>7385.7952777777773</v>
      </c>
      <c r="F12" s="616"/>
      <c r="G12" s="616"/>
      <c r="H12" s="613">
        <f>Annualized!E12</f>
        <v>76934.233611111107</v>
      </c>
      <c r="I12" s="183">
        <f t="shared" si="1"/>
        <v>84320.02888888889</v>
      </c>
      <c r="J12" s="183">
        <f t="shared" si="2"/>
        <v>91705.824166666673</v>
      </c>
      <c r="K12" s="183">
        <f t="shared" si="2"/>
        <v>99091.619444444455</v>
      </c>
      <c r="L12" s="183">
        <f t="shared" si="2"/>
        <v>106477.41472222224</v>
      </c>
      <c r="M12" s="183">
        <f t="shared" si="2"/>
        <v>113863.21000000002</v>
      </c>
      <c r="N12" s="183">
        <f t="shared" si="2"/>
        <v>121249.0052777778</v>
      </c>
      <c r="O12" s="183">
        <f t="shared" si="2"/>
        <v>128634.80055555559</v>
      </c>
      <c r="P12" s="183">
        <f t="shared" si="2"/>
        <v>136020.59583333335</v>
      </c>
      <c r="Q12" s="183">
        <f t="shared" si="2"/>
        <v>143406.39111111112</v>
      </c>
      <c r="R12" s="183">
        <f t="shared" si="2"/>
        <v>150792.18638888889</v>
      </c>
      <c r="S12" s="183">
        <f t="shared" si="2"/>
        <v>158177.98166666666</v>
      </c>
      <c r="T12" s="183">
        <f t="shared" si="2"/>
        <v>165563.77694444443</v>
      </c>
      <c r="U12" s="183">
        <f t="shared" si="2"/>
        <v>172949.5722222222</v>
      </c>
      <c r="V12" s="183">
        <f t="shared" si="2"/>
        <v>180335.36749999996</v>
      </c>
      <c r="W12" s="183">
        <f t="shared" si="2"/>
        <v>187721.16277777773</v>
      </c>
      <c r="X12" s="183">
        <f t="shared" si="2"/>
        <v>195106.9580555555</v>
      </c>
      <c r="Y12" s="183">
        <f t="shared" si="2"/>
        <v>202492.75333333327</v>
      </c>
      <c r="Z12" s="183">
        <f t="shared" si="3"/>
        <v>209878.54861111104</v>
      </c>
      <c r="AA12" s="183">
        <f t="shared" si="3"/>
        <v>217264.3438888888</v>
      </c>
      <c r="AB12" s="613">
        <f>Annualized!G12</f>
        <v>224650.13916666663</v>
      </c>
    </row>
    <row r="13" spans="2:28" x14ac:dyDescent="0.3">
      <c r="B13" s="178" t="s">
        <v>557</v>
      </c>
      <c r="C13" s="178" t="s">
        <v>93</v>
      </c>
      <c r="D13" s="178"/>
      <c r="E13" s="616">
        <f t="shared" si="0"/>
        <v>33923.764166666646</v>
      </c>
      <c r="F13" s="616"/>
      <c r="G13" s="616"/>
      <c r="H13" s="613">
        <f>Annualized!E13</f>
        <v>408577.71027777781</v>
      </c>
      <c r="I13" s="183">
        <f t="shared" si="1"/>
        <v>442501.47444444447</v>
      </c>
      <c r="J13" s="183">
        <f t="shared" si="2"/>
        <v>476425.23861111113</v>
      </c>
      <c r="K13" s="183">
        <f t="shared" si="2"/>
        <v>510349.00277777779</v>
      </c>
      <c r="L13" s="183">
        <f t="shared" si="2"/>
        <v>544272.76694444439</v>
      </c>
      <c r="M13" s="183">
        <f t="shared" si="2"/>
        <v>578196.53111111105</v>
      </c>
      <c r="N13" s="183">
        <f t="shared" si="2"/>
        <v>612120.29527777771</v>
      </c>
      <c r="O13" s="183">
        <f t="shared" si="2"/>
        <v>646044.05944444437</v>
      </c>
      <c r="P13" s="183">
        <f t="shared" si="2"/>
        <v>679967.82361111103</v>
      </c>
      <c r="Q13" s="183">
        <f t="shared" si="2"/>
        <v>713891.58777777769</v>
      </c>
      <c r="R13" s="183">
        <f t="shared" si="2"/>
        <v>747815.35194444435</v>
      </c>
      <c r="S13" s="183">
        <f t="shared" si="2"/>
        <v>781739.11611111101</v>
      </c>
      <c r="T13" s="183">
        <f t="shared" si="2"/>
        <v>815662.88027777767</v>
      </c>
      <c r="U13" s="183">
        <f t="shared" si="2"/>
        <v>849586.64444444433</v>
      </c>
      <c r="V13" s="183">
        <f t="shared" si="2"/>
        <v>883510.40861111099</v>
      </c>
      <c r="W13" s="183">
        <f t="shared" si="2"/>
        <v>917434.17277777765</v>
      </c>
      <c r="X13" s="183">
        <f t="shared" si="2"/>
        <v>951357.93694444431</v>
      </c>
      <c r="Y13" s="183">
        <f t="shared" si="2"/>
        <v>985281.70111111098</v>
      </c>
      <c r="Z13" s="183">
        <f t="shared" si="3"/>
        <v>1019205.4652777776</v>
      </c>
      <c r="AA13" s="183">
        <f t="shared" si="3"/>
        <v>1053129.2294444442</v>
      </c>
      <c r="AB13" s="613">
        <f>Annualized!G13</f>
        <v>1087052.9936111108</v>
      </c>
    </row>
    <row r="14" spans="2:28" x14ac:dyDescent="0.3">
      <c r="B14" s="199" t="s">
        <v>503</v>
      </c>
      <c r="C14" s="199"/>
      <c r="D14" s="199"/>
      <c r="E14" s="199"/>
      <c r="F14" s="199"/>
      <c r="G14" s="199"/>
      <c r="H14" s="323"/>
      <c r="I14" s="323"/>
      <c r="J14" s="323"/>
      <c r="K14" s="323"/>
      <c r="L14" s="323"/>
      <c r="M14" s="323"/>
      <c r="N14" s="323"/>
      <c r="O14" s="323"/>
      <c r="P14" s="323"/>
      <c r="Q14" s="323"/>
      <c r="R14" s="323"/>
      <c r="S14" s="323"/>
      <c r="T14" s="323"/>
      <c r="U14" s="323"/>
      <c r="V14" s="323"/>
      <c r="W14" s="323"/>
      <c r="X14" s="323"/>
      <c r="Y14" s="323"/>
      <c r="Z14" s="323"/>
      <c r="AA14" s="323"/>
      <c r="AB14" s="323"/>
    </row>
    <row r="15" spans="2:28" x14ac:dyDescent="0.3">
      <c r="B15" s="611" t="s">
        <v>237</v>
      </c>
      <c r="C15" s="611" t="s">
        <v>95</v>
      </c>
      <c r="D15" s="611"/>
      <c r="E15" s="617">
        <f t="shared" ref="E15:E20" si="4">(AB15-H15)/20</f>
        <v>3445936</v>
      </c>
      <c r="F15" s="617"/>
      <c r="G15" s="617"/>
      <c r="H15" s="612">
        <f>Annualized!E15</f>
        <v>80552160</v>
      </c>
      <c r="I15" s="182">
        <f t="shared" ref="I15:I20" si="5">H15+$E15</f>
        <v>83998096</v>
      </c>
      <c r="J15" s="182">
        <f t="shared" ref="J15:Y20" si="6">I15+$E15</f>
        <v>87444032</v>
      </c>
      <c r="K15" s="182">
        <f t="shared" si="6"/>
        <v>90889968</v>
      </c>
      <c r="L15" s="182">
        <f t="shared" si="6"/>
        <v>94335904</v>
      </c>
      <c r="M15" s="182">
        <f t="shared" si="6"/>
        <v>97781840</v>
      </c>
      <c r="N15" s="182">
        <f t="shared" si="6"/>
        <v>101227776</v>
      </c>
      <c r="O15" s="182">
        <f t="shared" si="6"/>
        <v>104673712</v>
      </c>
      <c r="P15" s="182">
        <f t="shared" si="6"/>
        <v>108119648</v>
      </c>
      <c r="Q15" s="182">
        <f t="shared" si="6"/>
        <v>111565584</v>
      </c>
      <c r="R15" s="182">
        <f t="shared" si="6"/>
        <v>115011520</v>
      </c>
      <c r="S15" s="182">
        <f t="shared" si="6"/>
        <v>118457456</v>
      </c>
      <c r="T15" s="182">
        <f t="shared" si="6"/>
        <v>121903392</v>
      </c>
      <c r="U15" s="182">
        <f t="shared" si="6"/>
        <v>125349328</v>
      </c>
      <c r="V15" s="182">
        <f t="shared" si="6"/>
        <v>128795264</v>
      </c>
      <c r="W15" s="182">
        <f t="shared" si="6"/>
        <v>132241200</v>
      </c>
      <c r="X15" s="182">
        <f t="shared" si="6"/>
        <v>135687136</v>
      </c>
      <c r="Y15" s="182">
        <f t="shared" si="6"/>
        <v>139133072</v>
      </c>
      <c r="Z15" s="182">
        <f t="shared" ref="Z15:AA20" si="7">Y15+$E15</f>
        <v>142579008</v>
      </c>
      <c r="AA15" s="182">
        <f t="shared" si="7"/>
        <v>146024944</v>
      </c>
      <c r="AB15" s="612">
        <f>Annualized!G15</f>
        <v>149470880</v>
      </c>
    </row>
    <row r="16" spans="2:28" x14ac:dyDescent="0.3">
      <c r="B16" s="611" t="s">
        <v>237</v>
      </c>
      <c r="C16" s="611" t="s">
        <v>4</v>
      </c>
      <c r="D16" s="611"/>
      <c r="E16" s="617">
        <f t="shared" si="4"/>
        <v>990829</v>
      </c>
      <c r="F16" s="617"/>
      <c r="G16" s="617"/>
      <c r="H16" s="612">
        <f>Annualized!E16</f>
        <v>23161440</v>
      </c>
      <c r="I16" s="182">
        <f t="shared" si="5"/>
        <v>24152269</v>
      </c>
      <c r="J16" s="182">
        <f t="shared" si="6"/>
        <v>25143098</v>
      </c>
      <c r="K16" s="182">
        <f t="shared" si="6"/>
        <v>26133927</v>
      </c>
      <c r="L16" s="182">
        <f t="shared" si="6"/>
        <v>27124756</v>
      </c>
      <c r="M16" s="182">
        <f t="shared" si="6"/>
        <v>28115585</v>
      </c>
      <c r="N16" s="182">
        <f t="shared" si="6"/>
        <v>29106414</v>
      </c>
      <c r="O16" s="182">
        <f t="shared" si="6"/>
        <v>30097243</v>
      </c>
      <c r="P16" s="182">
        <f t="shared" si="6"/>
        <v>31088072</v>
      </c>
      <c r="Q16" s="182">
        <f t="shared" si="6"/>
        <v>32078901</v>
      </c>
      <c r="R16" s="182">
        <f t="shared" si="6"/>
        <v>33069730</v>
      </c>
      <c r="S16" s="182">
        <f t="shared" si="6"/>
        <v>34060559</v>
      </c>
      <c r="T16" s="182">
        <f t="shared" si="6"/>
        <v>35051388</v>
      </c>
      <c r="U16" s="182">
        <f t="shared" si="6"/>
        <v>36042217</v>
      </c>
      <c r="V16" s="182">
        <f t="shared" si="6"/>
        <v>37033046</v>
      </c>
      <c r="W16" s="182">
        <f t="shared" si="6"/>
        <v>38023875</v>
      </c>
      <c r="X16" s="182">
        <f t="shared" si="6"/>
        <v>39014704</v>
      </c>
      <c r="Y16" s="182">
        <f t="shared" si="6"/>
        <v>40005533</v>
      </c>
      <c r="Z16" s="182">
        <f t="shared" si="7"/>
        <v>40996362</v>
      </c>
      <c r="AA16" s="182">
        <f t="shared" si="7"/>
        <v>41987191</v>
      </c>
      <c r="AB16" s="612">
        <f>Annualized!G16</f>
        <v>42978020</v>
      </c>
    </row>
    <row r="17" spans="2:28" x14ac:dyDescent="0.3">
      <c r="B17" s="611" t="s">
        <v>237</v>
      </c>
      <c r="C17" s="611" t="s">
        <v>93</v>
      </c>
      <c r="D17" s="611"/>
      <c r="E17" s="617">
        <f t="shared" si="4"/>
        <v>4436765</v>
      </c>
      <c r="F17" s="617"/>
      <c r="G17" s="617"/>
      <c r="H17" s="612">
        <f>Annualized!E17</f>
        <v>103713600</v>
      </c>
      <c r="I17" s="182">
        <f t="shared" si="5"/>
        <v>108150365</v>
      </c>
      <c r="J17" s="182">
        <f t="shared" si="6"/>
        <v>112587130</v>
      </c>
      <c r="K17" s="182">
        <f t="shared" si="6"/>
        <v>117023895</v>
      </c>
      <c r="L17" s="182">
        <f t="shared" si="6"/>
        <v>121460660</v>
      </c>
      <c r="M17" s="182">
        <f t="shared" si="6"/>
        <v>125897425</v>
      </c>
      <c r="N17" s="182">
        <f t="shared" si="6"/>
        <v>130334190</v>
      </c>
      <c r="O17" s="182">
        <f t="shared" si="6"/>
        <v>134770955</v>
      </c>
      <c r="P17" s="182">
        <f t="shared" si="6"/>
        <v>139207720</v>
      </c>
      <c r="Q17" s="182">
        <f t="shared" si="6"/>
        <v>143644485</v>
      </c>
      <c r="R17" s="182">
        <f t="shared" si="6"/>
        <v>148081250</v>
      </c>
      <c r="S17" s="182">
        <f t="shared" si="6"/>
        <v>152518015</v>
      </c>
      <c r="T17" s="182">
        <f t="shared" si="6"/>
        <v>156954780</v>
      </c>
      <c r="U17" s="182">
        <f t="shared" si="6"/>
        <v>161391545</v>
      </c>
      <c r="V17" s="182">
        <f t="shared" si="6"/>
        <v>165828310</v>
      </c>
      <c r="W17" s="182">
        <f t="shared" si="6"/>
        <v>170265075</v>
      </c>
      <c r="X17" s="182">
        <f t="shared" si="6"/>
        <v>174701840</v>
      </c>
      <c r="Y17" s="182">
        <f t="shared" si="6"/>
        <v>179138605</v>
      </c>
      <c r="Z17" s="182">
        <f t="shared" si="7"/>
        <v>183575370</v>
      </c>
      <c r="AA17" s="182">
        <f t="shared" si="7"/>
        <v>188012135</v>
      </c>
      <c r="AB17" s="612">
        <f>Annualized!G17</f>
        <v>192448900</v>
      </c>
    </row>
    <row r="18" spans="2:28" x14ac:dyDescent="0.3">
      <c r="B18" s="178" t="s">
        <v>557</v>
      </c>
      <c r="C18" s="178" t="s">
        <v>95</v>
      </c>
      <c r="D18" s="178"/>
      <c r="E18" s="616">
        <f t="shared" si="4"/>
        <v>17700.547222222223</v>
      </c>
      <c r="F18" s="616"/>
      <c r="G18" s="616"/>
      <c r="H18" s="613">
        <f>Annualized!E18</f>
        <v>196143.13333333336</v>
      </c>
      <c r="I18" s="183">
        <f t="shared" si="5"/>
        <v>213843.68055555559</v>
      </c>
      <c r="J18" s="183">
        <f t="shared" si="6"/>
        <v>231544.22777777782</v>
      </c>
      <c r="K18" s="183">
        <f t="shared" si="6"/>
        <v>249244.77500000005</v>
      </c>
      <c r="L18" s="183">
        <f t="shared" si="6"/>
        <v>266945.32222222228</v>
      </c>
      <c r="M18" s="183">
        <f t="shared" si="6"/>
        <v>284645.86944444448</v>
      </c>
      <c r="N18" s="183">
        <f t="shared" si="6"/>
        <v>302346.41666666669</v>
      </c>
      <c r="O18" s="183">
        <f t="shared" si="6"/>
        <v>320046.96388888889</v>
      </c>
      <c r="P18" s="183">
        <f t="shared" si="6"/>
        <v>337747.51111111109</v>
      </c>
      <c r="Q18" s="183">
        <f t="shared" si="6"/>
        <v>355448.05833333329</v>
      </c>
      <c r="R18" s="183">
        <f t="shared" si="6"/>
        <v>373148.60555555549</v>
      </c>
      <c r="S18" s="183">
        <f t="shared" si="6"/>
        <v>390849.15277777769</v>
      </c>
      <c r="T18" s="183">
        <f t="shared" si="6"/>
        <v>408549.6999999999</v>
      </c>
      <c r="U18" s="183">
        <f t="shared" si="6"/>
        <v>426250.2472222221</v>
      </c>
      <c r="V18" s="183">
        <f t="shared" si="6"/>
        <v>443950.7944444443</v>
      </c>
      <c r="W18" s="183">
        <f t="shared" si="6"/>
        <v>461651.3416666665</v>
      </c>
      <c r="X18" s="183">
        <f t="shared" si="6"/>
        <v>479351.8888888887</v>
      </c>
      <c r="Y18" s="183">
        <f t="shared" si="6"/>
        <v>497052.4361111109</v>
      </c>
      <c r="Z18" s="183">
        <f t="shared" si="7"/>
        <v>514752.9833333331</v>
      </c>
      <c r="AA18" s="183">
        <f t="shared" si="7"/>
        <v>532453.53055555536</v>
      </c>
      <c r="AB18" s="613">
        <f>Annualized!G18</f>
        <v>550154.0777777778</v>
      </c>
    </row>
    <row r="19" spans="2:28" x14ac:dyDescent="0.3">
      <c r="B19" s="178" t="s">
        <v>557</v>
      </c>
      <c r="C19" s="178" t="s">
        <v>4</v>
      </c>
      <c r="D19" s="178"/>
      <c r="E19" s="616">
        <f t="shared" si="4"/>
        <v>5130.3284722222215</v>
      </c>
      <c r="F19" s="616"/>
      <c r="G19" s="616"/>
      <c r="H19" s="613">
        <f>Annualized!E19</f>
        <v>48153.841666666667</v>
      </c>
      <c r="I19" s="183">
        <f t="shared" si="5"/>
        <v>53284.170138888891</v>
      </c>
      <c r="J19" s="183">
        <f t="shared" si="6"/>
        <v>58414.498611111114</v>
      </c>
      <c r="K19" s="183">
        <f t="shared" si="6"/>
        <v>63544.827083333337</v>
      </c>
      <c r="L19" s="183">
        <f t="shared" si="6"/>
        <v>68675.155555555553</v>
      </c>
      <c r="M19" s="183">
        <f t="shared" si="6"/>
        <v>73805.484027777769</v>
      </c>
      <c r="N19" s="183">
        <f t="shared" si="6"/>
        <v>78935.812499999985</v>
      </c>
      <c r="O19" s="183">
        <f t="shared" si="6"/>
        <v>84066.140972222202</v>
      </c>
      <c r="P19" s="183">
        <f t="shared" si="6"/>
        <v>89196.469444444418</v>
      </c>
      <c r="Q19" s="183">
        <f t="shared" si="6"/>
        <v>94326.797916666634</v>
      </c>
      <c r="R19" s="183">
        <f t="shared" si="6"/>
        <v>99457.12638888885</v>
      </c>
      <c r="S19" s="183">
        <f t="shared" si="6"/>
        <v>104587.45486111107</v>
      </c>
      <c r="T19" s="183">
        <f t="shared" si="6"/>
        <v>109717.78333333328</v>
      </c>
      <c r="U19" s="183">
        <f t="shared" si="6"/>
        <v>114848.1118055555</v>
      </c>
      <c r="V19" s="183">
        <f t="shared" si="6"/>
        <v>119978.44027777771</v>
      </c>
      <c r="W19" s="183">
        <f t="shared" si="6"/>
        <v>125108.76874999993</v>
      </c>
      <c r="X19" s="183">
        <f t="shared" si="6"/>
        <v>130239.09722222215</v>
      </c>
      <c r="Y19" s="183">
        <f t="shared" si="6"/>
        <v>135369.42569444436</v>
      </c>
      <c r="Z19" s="183">
        <f t="shared" si="7"/>
        <v>140499.75416666659</v>
      </c>
      <c r="AA19" s="183">
        <f t="shared" si="7"/>
        <v>145630.08263888882</v>
      </c>
      <c r="AB19" s="613">
        <f>Annualized!G19</f>
        <v>150760.41111111111</v>
      </c>
    </row>
    <row r="20" spans="2:28" x14ac:dyDescent="0.3">
      <c r="B20" s="178" t="s">
        <v>557</v>
      </c>
      <c r="C20" s="178" t="s">
        <v>93</v>
      </c>
      <c r="D20" s="178"/>
      <c r="E20" s="616">
        <f t="shared" si="4"/>
        <v>22830.875694444439</v>
      </c>
      <c r="F20" s="616"/>
      <c r="G20" s="616"/>
      <c r="H20" s="613">
        <f>Annualized!E20</f>
        <v>244296.97500000003</v>
      </c>
      <c r="I20" s="183">
        <f t="shared" si="5"/>
        <v>267127.8506944445</v>
      </c>
      <c r="J20" s="183">
        <f t="shared" si="6"/>
        <v>289958.72638888896</v>
      </c>
      <c r="K20" s="183">
        <f t="shared" si="6"/>
        <v>312789.60208333342</v>
      </c>
      <c r="L20" s="183">
        <f t="shared" si="6"/>
        <v>335620.47777777788</v>
      </c>
      <c r="M20" s="183">
        <f t="shared" si="6"/>
        <v>358451.35347222234</v>
      </c>
      <c r="N20" s="183">
        <f t="shared" si="6"/>
        <v>381282.2291666668</v>
      </c>
      <c r="O20" s="183">
        <f t="shared" si="6"/>
        <v>404113.10486111126</v>
      </c>
      <c r="P20" s="183">
        <f t="shared" si="6"/>
        <v>426943.98055555573</v>
      </c>
      <c r="Q20" s="183">
        <f t="shared" si="6"/>
        <v>449774.85625000019</v>
      </c>
      <c r="R20" s="183">
        <f t="shared" si="6"/>
        <v>472605.73194444465</v>
      </c>
      <c r="S20" s="183">
        <f t="shared" si="6"/>
        <v>495436.60763888911</v>
      </c>
      <c r="T20" s="183">
        <f t="shared" si="6"/>
        <v>518267.48333333357</v>
      </c>
      <c r="U20" s="183">
        <f t="shared" si="6"/>
        <v>541098.35902777803</v>
      </c>
      <c r="V20" s="183">
        <f t="shared" si="6"/>
        <v>563929.23472222243</v>
      </c>
      <c r="W20" s="183">
        <f t="shared" si="6"/>
        <v>586760.11041666684</v>
      </c>
      <c r="X20" s="183">
        <f t="shared" si="6"/>
        <v>609590.98611111124</v>
      </c>
      <c r="Y20" s="183">
        <f t="shared" si="6"/>
        <v>632421.86180555564</v>
      </c>
      <c r="Z20" s="183">
        <f t="shared" si="7"/>
        <v>655252.73750000005</v>
      </c>
      <c r="AA20" s="183">
        <f t="shared" si="7"/>
        <v>678083.61319444445</v>
      </c>
      <c r="AB20" s="613">
        <f>Annualized!G20</f>
        <v>700914.48888888885</v>
      </c>
    </row>
    <row r="21" spans="2:28" x14ac:dyDescent="0.3">
      <c r="B21" s="199" t="s">
        <v>567</v>
      </c>
      <c r="C21" s="199"/>
      <c r="D21" s="199"/>
      <c r="E21" s="199"/>
      <c r="F21" s="199"/>
      <c r="G21" s="199"/>
      <c r="H21" s="323"/>
      <c r="I21" s="323"/>
      <c r="J21" s="323"/>
      <c r="K21" s="323"/>
      <c r="L21" s="323"/>
      <c r="M21" s="323"/>
      <c r="N21" s="323"/>
      <c r="O21" s="323"/>
      <c r="P21" s="323"/>
      <c r="Q21" s="323"/>
      <c r="R21" s="323"/>
      <c r="S21" s="323"/>
      <c r="T21" s="323"/>
      <c r="U21" s="323"/>
      <c r="V21" s="323"/>
      <c r="W21" s="323"/>
      <c r="X21" s="323"/>
      <c r="Y21" s="323"/>
      <c r="Z21" s="323"/>
      <c r="AA21" s="323"/>
      <c r="AB21" s="323"/>
    </row>
    <row r="22" spans="2:28" x14ac:dyDescent="0.3">
      <c r="B22" s="611" t="s">
        <v>237</v>
      </c>
      <c r="C22" s="611" t="s">
        <v>95</v>
      </c>
      <c r="D22" s="611"/>
      <c r="E22" s="617">
        <f t="shared" ref="E22:E27" si="8">(AB22-H22)/20</f>
        <v>0</v>
      </c>
      <c r="F22" s="617"/>
      <c r="G22" s="617"/>
      <c r="H22" s="612">
        <f>Annualized!E22</f>
        <v>0</v>
      </c>
      <c r="I22" s="182">
        <f t="shared" ref="I22:X27" si="9">H22+$E22</f>
        <v>0</v>
      </c>
      <c r="J22" s="182">
        <f t="shared" si="9"/>
        <v>0</v>
      </c>
      <c r="K22" s="182">
        <f t="shared" si="9"/>
        <v>0</v>
      </c>
      <c r="L22" s="182">
        <f t="shared" si="9"/>
        <v>0</v>
      </c>
      <c r="M22" s="182">
        <f t="shared" si="9"/>
        <v>0</v>
      </c>
      <c r="N22" s="182">
        <f t="shared" si="9"/>
        <v>0</v>
      </c>
      <c r="O22" s="182">
        <f t="shared" si="9"/>
        <v>0</v>
      </c>
      <c r="P22" s="182">
        <f t="shared" si="9"/>
        <v>0</v>
      </c>
      <c r="Q22" s="182">
        <f t="shared" si="9"/>
        <v>0</v>
      </c>
      <c r="R22" s="182">
        <f t="shared" si="9"/>
        <v>0</v>
      </c>
      <c r="S22" s="182">
        <f t="shared" si="9"/>
        <v>0</v>
      </c>
      <c r="T22" s="182">
        <f t="shared" si="9"/>
        <v>0</v>
      </c>
      <c r="U22" s="182">
        <f t="shared" si="9"/>
        <v>0</v>
      </c>
      <c r="V22" s="182">
        <f t="shared" si="9"/>
        <v>0</v>
      </c>
      <c r="W22" s="182">
        <f t="shared" si="9"/>
        <v>0</v>
      </c>
      <c r="X22" s="182">
        <f t="shared" si="9"/>
        <v>0</v>
      </c>
      <c r="Y22" s="182">
        <f t="shared" ref="Y22:AA27" si="10">X22+$E22</f>
        <v>0</v>
      </c>
      <c r="Z22" s="182">
        <f t="shared" si="10"/>
        <v>0</v>
      </c>
      <c r="AA22" s="182">
        <f t="shared" si="10"/>
        <v>0</v>
      </c>
      <c r="AB22" s="612">
        <f>Annualized!G22</f>
        <v>0</v>
      </c>
    </row>
    <row r="23" spans="2:28" x14ac:dyDescent="0.3">
      <c r="B23" s="611" t="s">
        <v>237</v>
      </c>
      <c r="C23" s="611" t="s">
        <v>4</v>
      </c>
      <c r="D23" s="611"/>
      <c r="E23" s="617">
        <f t="shared" si="8"/>
        <v>0</v>
      </c>
      <c r="F23" s="617"/>
      <c r="G23" s="617"/>
      <c r="H23" s="612">
        <f>Annualized!E23</f>
        <v>0</v>
      </c>
      <c r="I23" s="182">
        <f t="shared" si="9"/>
        <v>0</v>
      </c>
      <c r="J23" s="182">
        <f t="shared" si="9"/>
        <v>0</v>
      </c>
      <c r="K23" s="182">
        <f t="shared" si="9"/>
        <v>0</v>
      </c>
      <c r="L23" s="182">
        <f t="shared" si="9"/>
        <v>0</v>
      </c>
      <c r="M23" s="182">
        <f t="shared" si="9"/>
        <v>0</v>
      </c>
      <c r="N23" s="182">
        <f t="shared" si="9"/>
        <v>0</v>
      </c>
      <c r="O23" s="182">
        <f t="shared" si="9"/>
        <v>0</v>
      </c>
      <c r="P23" s="182">
        <f t="shared" si="9"/>
        <v>0</v>
      </c>
      <c r="Q23" s="182">
        <f t="shared" si="9"/>
        <v>0</v>
      </c>
      <c r="R23" s="182">
        <f t="shared" si="9"/>
        <v>0</v>
      </c>
      <c r="S23" s="182">
        <f t="shared" si="9"/>
        <v>0</v>
      </c>
      <c r="T23" s="182">
        <f t="shared" si="9"/>
        <v>0</v>
      </c>
      <c r="U23" s="182">
        <f t="shared" si="9"/>
        <v>0</v>
      </c>
      <c r="V23" s="182">
        <f t="shared" si="9"/>
        <v>0</v>
      </c>
      <c r="W23" s="182">
        <f t="shared" si="9"/>
        <v>0</v>
      </c>
      <c r="X23" s="182">
        <f t="shared" si="9"/>
        <v>0</v>
      </c>
      <c r="Y23" s="182">
        <f t="shared" si="10"/>
        <v>0</v>
      </c>
      <c r="Z23" s="182">
        <f t="shared" si="10"/>
        <v>0</v>
      </c>
      <c r="AA23" s="182">
        <f t="shared" si="10"/>
        <v>0</v>
      </c>
      <c r="AB23" s="612">
        <f>Annualized!G23</f>
        <v>0</v>
      </c>
    </row>
    <row r="24" spans="2:28" x14ac:dyDescent="0.3">
      <c r="B24" s="611" t="s">
        <v>237</v>
      </c>
      <c r="C24" s="611" t="s">
        <v>93</v>
      </c>
      <c r="D24" s="611"/>
      <c r="E24" s="617">
        <f t="shared" si="8"/>
        <v>0</v>
      </c>
      <c r="F24" s="617"/>
      <c r="G24" s="617"/>
      <c r="H24" s="612">
        <f>Annualized!E24</f>
        <v>0</v>
      </c>
      <c r="I24" s="182">
        <f t="shared" si="9"/>
        <v>0</v>
      </c>
      <c r="J24" s="182">
        <f t="shared" si="9"/>
        <v>0</v>
      </c>
      <c r="K24" s="182">
        <f t="shared" si="9"/>
        <v>0</v>
      </c>
      <c r="L24" s="182">
        <f t="shared" si="9"/>
        <v>0</v>
      </c>
      <c r="M24" s="182">
        <f t="shared" si="9"/>
        <v>0</v>
      </c>
      <c r="N24" s="182">
        <f t="shared" si="9"/>
        <v>0</v>
      </c>
      <c r="O24" s="182">
        <f t="shared" si="9"/>
        <v>0</v>
      </c>
      <c r="P24" s="182">
        <f t="shared" si="9"/>
        <v>0</v>
      </c>
      <c r="Q24" s="182">
        <f t="shared" si="9"/>
        <v>0</v>
      </c>
      <c r="R24" s="182">
        <f t="shared" si="9"/>
        <v>0</v>
      </c>
      <c r="S24" s="182">
        <f t="shared" si="9"/>
        <v>0</v>
      </c>
      <c r="T24" s="182">
        <f t="shared" si="9"/>
        <v>0</v>
      </c>
      <c r="U24" s="182">
        <f t="shared" si="9"/>
        <v>0</v>
      </c>
      <c r="V24" s="182">
        <f t="shared" si="9"/>
        <v>0</v>
      </c>
      <c r="W24" s="182">
        <f t="shared" si="9"/>
        <v>0</v>
      </c>
      <c r="X24" s="182">
        <f t="shared" si="9"/>
        <v>0</v>
      </c>
      <c r="Y24" s="182">
        <f t="shared" si="10"/>
        <v>0</v>
      </c>
      <c r="Z24" s="182">
        <f t="shared" si="10"/>
        <v>0</v>
      </c>
      <c r="AA24" s="182">
        <f t="shared" si="10"/>
        <v>0</v>
      </c>
      <c r="AB24" s="612">
        <f>Annualized!G24</f>
        <v>0</v>
      </c>
    </row>
    <row r="25" spans="2:28" x14ac:dyDescent="0.3">
      <c r="B25" s="178" t="s">
        <v>557</v>
      </c>
      <c r="C25" s="178" t="s">
        <v>95</v>
      </c>
      <c r="D25" s="178"/>
      <c r="E25" s="616">
        <f t="shared" si="8"/>
        <v>-8837.421666666658</v>
      </c>
      <c r="F25" s="616"/>
      <c r="G25" s="616"/>
      <c r="H25" s="613">
        <f>Annualized!E25</f>
        <v>-135500.34333333332</v>
      </c>
      <c r="I25" s="183">
        <f t="shared" si="9"/>
        <v>-144337.76499999998</v>
      </c>
      <c r="J25" s="183">
        <f t="shared" si="9"/>
        <v>-153175.18666666665</v>
      </c>
      <c r="K25" s="183">
        <f t="shared" si="9"/>
        <v>-162012.60833333331</v>
      </c>
      <c r="L25" s="183">
        <f t="shared" si="9"/>
        <v>-170850.02999999997</v>
      </c>
      <c r="M25" s="183">
        <f t="shared" si="9"/>
        <v>-179687.45166666663</v>
      </c>
      <c r="N25" s="183">
        <f t="shared" si="9"/>
        <v>-188524.87333333329</v>
      </c>
      <c r="O25" s="183">
        <f t="shared" si="9"/>
        <v>-197362.29499999995</v>
      </c>
      <c r="P25" s="183">
        <f t="shared" si="9"/>
        <v>-206199.71666666662</v>
      </c>
      <c r="Q25" s="183">
        <f t="shared" si="9"/>
        <v>-215037.13833333328</v>
      </c>
      <c r="R25" s="183">
        <f t="shared" si="9"/>
        <v>-223874.55999999994</v>
      </c>
      <c r="S25" s="183">
        <f t="shared" si="9"/>
        <v>-232711.9816666666</v>
      </c>
      <c r="T25" s="183">
        <f t="shared" si="9"/>
        <v>-241549.40333333326</v>
      </c>
      <c r="U25" s="183">
        <f t="shared" si="9"/>
        <v>-250386.82499999992</v>
      </c>
      <c r="V25" s="183">
        <f t="shared" si="9"/>
        <v>-259224.24666666659</v>
      </c>
      <c r="W25" s="183">
        <f t="shared" si="9"/>
        <v>-268061.66833333322</v>
      </c>
      <c r="X25" s="183">
        <f t="shared" si="9"/>
        <v>-276899.08999999985</v>
      </c>
      <c r="Y25" s="183">
        <f t="shared" si="10"/>
        <v>-285736.51166666648</v>
      </c>
      <c r="Z25" s="183">
        <f t="shared" si="10"/>
        <v>-294573.93333333312</v>
      </c>
      <c r="AA25" s="183">
        <f t="shared" si="10"/>
        <v>-303411.35499999975</v>
      </c>
      <c r="AB25" s="613">
        <f>Annualized!G25</f>
        <v>-312248.7766666665</v>
      </c>
    </row>
    <row r="26" spans="2:28" x14ac:dyDescent="0.3">
      <c r="B26" s="178" t="s">
        <v>557</v>
      </c>
      <c r="C26" s="178" t="s">
        <v>4</v>
      </c>
      <c r="D26" s="178"/>
      <c r="E26" s="616">
        <f t="shared" si="8"/>
        <v>-2255.4668055555539</v>
      </c>
      <c r="F26" s="616"/>
      <c r="G26" s="616"/>
      <c r="H26" s="613">
        <f>Annualized!E26</f>
        <v>-28780.39194444444</v>
      </c>
      <c r="I26" s="183">
        <f t="shared" si="9"/>
        <v>-31035.858749999992</v>
      </c>
      <c r="J26" s="183">
        <f t="shared" si="9"/>
        <v>-33291.325555555544</v>
      </c>
      <c r="K26" s="183">
        <f t="shared" si="9"/>
        <v>-35546.792361111096</v>
      </c>
      <c r="L26" s="183">
        <f t="shared" si="9"/>
        <v>-37802.259166666649</v>
      </c>
      <c r="M26" s="183">
        <f t="shared" si="9"/>
        <v>-40057.725972222201</v>
      </c>
      <c r="N26" s="183">
        <f t="shared" si="9"/>
        <v>-42313.192777777753</v>
      </c>
      <c r="O26" s="183">
        <f t="shared" si="9"/>
        <v>-44568.659583333305</v>
      </c>
      <c r="P26" s="183">
        <f t="shared" si="9"/>
        <v>-46824.126388888857</v>
      </c>
      <c r="Q26" s="183">
        <f t="shared" si="9"/>
        <v>-49079.593194444409</v>
      </c>
      <c r="R26" s="183">
        <f t="shared" si="9"/>
        <v>-51335.059999999961</v>
      </c>
      <c r="S26" s="183">
        <f t="shared" si="9"/>
        <v>-53590.526805555513</v>
      </c>
      <c r="T26" s="183">
        <f t="shared" si="9"/>
        <v>-55845.993611111066</v>
      </c>
      <c r="U26" s="183">
        <f t="shared" si="9"/>
        <v>-58101.460416666618</v>
      </c>
      <c r="V26" s="183">
        <f t="shared" si="9"/>
        <v>-60356.92722222217</v>
      </c>
      <c r="W26" s="183">
        <f t="shared" si="9"/>
        <v>-62612.394027777722</v>
      </c>
      <c r="X26" s="183">
        <f t="shared" si="9"/>
        <v>-64867.860833333274</v>
      </c>
      <c r="Y26" s="183">
        <f t="shared" si="10"/>
        <v>-67123.327638888833</v>
      </c>
      <c r="Z26" s="183">
        <f t="shared" si="10"/>
        <v>-69378.794444444386</v>
      </c>
      <c r="AA26" s="183">
        <f t="shared" si="10"/>
        <v>-71634.261249999938</v>
      </c>
      <c r="AB26" s="613">
        <f>Annualized!G26</f>
        <v>-73889.728055555519</v>
      </c>
    </row>
    <row r="27" spans="2:28" x14ac:dyDescent="0.3">
      <c r="B27" s="178" t="s">
        <v>557</v>
      </c>
      <c r="C27" s="178" t="s">
        <v>93</v>
      </c>
      <c r="D27" s="178"/>
      <c r="E27" s="616">
        <f t="shared" si="8"/>
        <v>-11092.88847222221</v>
      </c>
      <c r="F27" s="616"/>
      <c r="G27" s="616"/>
      <c r="H27" s="613">
        <f>Annualized!E27</f>
        <v>-164280.73527777777</v>
      </c>
      <c r="I27" s="183">
        <f t="shared" si="9"/>
        <v>-175373.62374999997</v>
      </c>
      <c r="J27" s="183">
        <f t="shared" si="9"/>
        <v>-186466.51222222217</v>
      </c>
      <c r="K27" s="183">
        <f t="shared" si="9"/>
        <v>-197559.40069444437</v>
      </c>
      <c r="L27" s="183">
        <f t="shared" si="9"/>
        <v>-208652.28916666657</v>
      </c>
      <c r="M27" s="183">
        <f t="shared" si="9"/>
        <v>-219745.17763888877</v>
      </c>
      <c r="N27" s="183">
        <f t="shared" si="9"/>
        <v>-230838.06611111097</v>
      </c>
      <c r="O27" s="183">
        <f t="shared" si="9"/>
        <v>-241930.95458333316</v>
      </c>
      <c r="P27" s="183">
        <f t="shared" si="9"/>
        <v>-253023.84305555536</v>
      </c>
      <c r="Q27" s="183">
        <f t="shared" si="9"/>
        <v>-264116.73152777756</v>
      </c>
      <c r="R27" s="183">
        <f t="shared" si="9"/>
        <v>-275209.61999999976</v>
      </c>
      <c r="S27" s="183">
        <f t="shared" si="9"/>
        <v>-286302.50847222196</v>
      </c>
      <c r="T27" s="183">
        <f t="shared" si="9"/>
        <v>-297395.39694444416</v>
      </c>
      <c r="U27" s="183">
        <f t="shared" si="9"/>
        <v>-308488.28541666636</v>
      </c>
      <c r="V27" s="183">
        <f t="shared" si="9"/>
        <v>-319581.17388888856</v>
      </c>
      <c r="W27" s="183">
        <f t="shared" si="9"/>
        <v>-330674.06236111076</v>
      </c>
      <c r="X27" s="183">
        <f t="shared" si="9"/>
        <v>-341766.95083333296</v>
      </c>
      <c r="Y27" s="183">
        <f t="shared" si="10"/>
        <v>-352859.83930555516</v>
      </c>
      <c r="Z27" s="183">
        <f t="shared" si="10"/>
        <v>-363952.72777777736</v>
      </c>
      <c r="AA27" s="183">
        <f t="shared" si="10"/>
        <v>-375045.61624999956</v>
      </c>
      <c r="AB27" s="613">
        <f>Annualized!G27</f>
        <v>-386138.50472222199</v>
      </c>
    </row>
    <row r="28" spans="2:28" x14ac:dyDescent="0.3">
      <c r="H28" s="67"/>
      <c r="I28" s="67"/>
      <c r="J28" s="67"/>
      <c r="K28" s="67"/>
      <c r="L28" s="67"/>
      <c r="M28" s="67"/>
      <c r="N28" s="67"/>
      <c r="O28" s="67"/>
      <c r="P28" s="67"/>
      <c r="Q28" s="67"/>
      <c r="R28" s="67"/>
      <c r="S28" s="67"/>
      <c r="T28" s="67"/>
      <c r="U28" s="67"/>
      <c r="V28" s="67"/>
      <c r="W28" s="67"/>
      <c r="X28" s="67"/>
      <c r="Y28" s="67"/>
      <c r="Z28" s="67"/>
      <c r="AA28" s="67"/>
      <c r="AB28" s="67"/>
    </row>
    <row r="29" spans="2:28" x14ac:dyDescent="0.3">
      <c r="H29" s="67"/>
      <c r="I29" s="67"/>
      <c r="J29" s="67"/>
      <c r="K29" s="67"/>
      <c r="L29" s="67"/>
      <c r="M29" s="67"/>
      <c r="N29" s="67"/>
      <c r="O29" s="67"/>
      <c r="P29" s="67"/>
      <c r="Q29" s="67"/>
      <c r="R29" s="67"/>
      <c r="S29" s="67"/>
      <c r="T29" s="67"/>
      <c r="U29" s="67"/>
      <c r="V29" s="67"/>
      <c r="W29" s="67"/>
      <c r="X29" s="67"/>
      <c r="Y29" s="67"/>
      <c r="Z29" s="67"/>
      <c r="AA29" s="67"/>
      <c r="AB29" s="67"/>
    </row>
    <row r="30" spans="2:28" x14ac:dyDescent="0.3">
      <c r="H30" s="67"/>
      <c r="I30" s="67"/>
      <c r="J30" s="67"/>
      <c r="K30" s="67"/>
      <c r="L30" s="67"/>
      <c r="M30" s="67"/>
      <c r="N30" s="67"/>
      <c r="O30" s="67"/>
      <c r="P30" s="67"/>
      <c r="Q30" s="67"/>
      <c r="R30" s="67"/>
      <c r="S30" s="67"/>
      <c r="T30" s="67"/>
      <c r="U30" s="67"/>
      <c r="V30" s="67"/>
      <c r="W30" s="67"/>
      <c r="X30" s="67"/>
      <c r="Y30" s="67"/>
      <c r="Z30" s="67"/>
      <c r="AA30" s="67"/>
      <c r="AB30" s="67"/>
    </row>
    <row r="31" spans="2:28" x14ac:dyDescent="0.3">
      <c r="H31" s="67"/>
      <c r="I31" s="67"/>
      <c r="J31" s="67"/>
      <c r="K31" s="67"/>
      <c r="L31" s="67"/>
      <c r="M31" s="67"/>
      <c r="N31" s="67"/>
      <c r="O31" s="67"/>
      <c r="P31" s="67"/>
      <c r="Q31" s="67"/>
      <c r="R31" s="67"/>
      <c r="S31" s="67"/>
      <c r="T31" s="67"/>
      <c r="U31" s="67"/>
      <c r="V31" s="67"/>
      <c r="W31" s="67"/>
      <c r="X31" s="67"/>
      <c r="Y31" s="67"/>
      <c r="Z31" s="67"/>
      <c r="AA31" s="67"/>
      <c r="AB31" s="67"/>
    </row>
    <row r="32" spans="2:28" x14ac:dyDescent="0.3">
      <c r="H32" s="67"/>
      <c r="I32" s="67"/>
      <c r="J32" s="67"/>
      <c r="K32" s="67"/>
      <c r="L32" s="67"/>
      <c r="M32" s="67"/>
      <c r="N32" s="67"/>
      <c r="O32" s="67"/>
      <c r="P32" s="67"/>
      <c r="Q32" s="67"/>
      <c r="R32" s="67"/>
      <c r="S32" s="67"/>
      <c r="T32" s="67"/>
      <c r="U32" s="67"/>
      <c r="V32" s="67"/>
      <c r="W32" s="67"/>
      <c r="X32" s="67"/>
      <c r="Y32" s="67"/>
      <c r="Z32" s="67"/>
      <c r="AA32" s="67"/>
      <c r="AB32" s="67"/>
    </row>
    <row r="33" spans="8:28" x14ac:dyDescent="0.3">
      <c r="H33" s="67"/>
      <c r="I33" s="67"/>
      <c r="J33" s="67"/>
      <c r="K33" s="67"/>
      <c r="L33" s="67"/>
      <c r="M33" s="67"/>
      <c r="N33" s="67"/>
      <c r="O33" s="67"/>
      <c r="P33" s="67"/>
      <c r="Q33" s="67"/>
      <c r="R33" s="67"/>
      <c r="S33" s="67"/>
      <c r="T33" s="67"/>
      <c r="U33" s="67"/>
      <c r="V33" s="67"/>
      <c r="W33" s="67"/>
      <c r="X33" s="67"/>
      <c r="Y33" s="67"/>
      <c r="Z33" s="67"/>
      <c r="AA33" s="67"/>
      <c r="AB33" s="67"/>
    </row>
    <row r="34" spans="8:28" x14ac:dyDescent="0.3">
      <c r="H34" s="67"/>
      <c r="I34" s="67"/>
      <c r="J34" s="67"/>
      <c r="K34" s="67"/>
      <c r="L34" s="67"/>
      <c r="M34" s="67"/>
      <c r="N34" s="67"/>
      <c r="O34" s="67"/>
      <c r="P34" s="67"/>
      <c r="Q34" s="67"/>
      <c r="R34" s="67"/>
      <c r="S34" s="67"/>
      <c r="T34" s="67"/>
      <c r="U34" s="67"/>
      <c r="V34" s="67"/>
      <c r="W34" s="67"/>
      <c r="X34" s="67"/>
      <c r="Y34" s="67"/>
      <c r="Z34" s="67"/>
      <c r="AA34" s="67"/>
      <c r="AB34" s="67"/>
    </row>
    <row r="35" spans="8:28" x14ac:dyDescent="0.3">
      <c r="H35" s="67"/>
      <c r="I35" s="67"/>
      <c r="J35" s="67"/>
      <c r="K35" s="67"/>
      <c r="L35" s="67"/>
      <c r="M35" s="67"/>
      <c r="N35" s="67"/>
      <c r="O35" s="67"/>
      <c r="P35" s="67"/>
      <c r="Q35" s="67"/>
      <c r="R35" s="67"/>
      <c r="S35" s="67"/>
      <c r="T35" s="67"/>
      <c r="U35" s="67"/>
      <c r="V35" s="67"/>
      <c r="W35" s="67"/>
      <c r="X35" s="67"/>
      <c r="Y35" s="67"/>
      <c r="Z35" s="67"/>
      <c r="AA35" s="67"/>
      <c r="AB35" s="67"/>
    </row>
    <row r="36" spans="8:28" x14ac:dyDescent="0.3">
      <c r="H36" s="67"/>
      <c r="I36" s="67"/>
      <c r="J36" s="67"/>
      <c r="K36" s="67"/>
      <c r="L36" s="67"/>
      <c r="M36" s="67"/>
      <c r="N36" s="67"/>
      <c r="O36" s="67"/>
      <c r="P36" s="67"/>
      <c r="Q36" s="67"/>
      <c r="R36" s="67"/>
      <c r="S36" s="67"/>
      <c r="T36" s="67"/>
      <c r="U36" s="67"/>
      <c r="V36" s="67"/>
      <c r="W36" s="67"/>
      <c r="X36" s="67"/>
      <c r="Y36" s="67"/>
      <c r="Z36" s="67"/>
      <c r="AA36" s="67"/>
      <c r="AB36" s="6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B22"/>
  <sheetViews>
    <sheetView workbookViewId="0">
      <pane xSplit="3" ySplit="7" topLeftCell="D8" activePane="bottomRight" state="frozen"/>
      <selection pane="topRight" activeCell="D1" sqref="D1"/>
      <selection pane="bottomLeft" activeCell="A8" sqref="A8"/>
      <selection pane="bottomRight" activeCell="H17" sqref="H17"/>
    </sheetView>
  </sheetViews>
  <sheetFormatPr defaultRowHeight="14.4" x14ac:dyDescent="0.3"/>
  <cols>
    <col min="1" max="1" width="3.33203125" customWidth="1"/>
    <col min="2" max="2" width="19.33203125" bestFit="1" customWidth="1"/>
    <col min="5" max="5" width="12.88671875" customWidth="1"/>
    <col min="6" max="6" width="5.5546875" bestFit="1" customWidth="1"/>
    <col min="7" max="7" width="14.21875" bestFit="1" customWidth="1"/>
    <col min="8" max="27" width="12" style="1" customWidth="1"/>
    <col min="28" max="28" width="12.21875" style="1" customWidth="1"/>
  </cols>
  <sheetData>
    <row r="1" spans="2:28" ht="9" customHeight="1" x14ac:dyDescent="0.3"/>
    <row r="2" spans="2:28" ht="18" x14ac:dyDescent="0.35">
      <c r="B2" s="186" t="s">
        <v>593</v>
      </c>
      <c r="C2" s="184"/>
      <c r="D2" s="184"/>
      <c r="E2" s="184"/>
      <c r="F2" s="184"/>
      <c r="G2" s="184"/>
      <c r="H2" s="185"/>
      <c r="I2" s="185"/>
      <c r="J2" s="185"/>
      <c r="K2" s="185"/>
      <c r="L2" s="185"/>
      <c r="M2" s="185"/>
      <c r="N2" s="185"/>
      <c r="O2" s="185"/>
      <c r="P2" s="185"/>
      <c r="Q2" s="185"/>
      <c r="R2" s="185"/>
      <c r="S2" s="185"/>
      <c r="T2" s="185"/>
      <c r="U2" s="185"/>
      <c r="V2" s="185"/>
      <c r="W2" s="185"/>
      <c r="X2" s="185"/>
      <c r="Y2" s="185"/>
      <c r="Z2" s="185"/>
      <c r="AA2" s="185"/>
      <c r="AB2" s="185"/>
    </row>
    <row r="3" spans="2:28" x14ac:dyDescent="0.3">
      <c r="B3" s="184"/>
      <c r="C3" s="184"/>
      <c r="D3" s="184"/>
      <c r="E3" s="184"/>
      <c r="F3" s="184"/>
      <c r="G3" s="184"/>
      <c r="H3" s="185"/>
      <c r="I3" s="185"/>
      <c r="J3" s="185"/>
      <c r="K3" s="185"/>
      <c r="L3" s="185"/>
      <c r="M3" s="185"/>
      <c r="N3" s="185"/>
      <c r="O3" s="185"/>
      <c r="P3" s="185"/>
      <c r="Q3" s="185"/>
      <c r="R3" s="185"/>
      <c r="S3" s="185"/>
      <c r="T3" s="185"/>
      <c r="U3" s="185"/>
      <c r="V3" s="185"/>
      <c r="W3" s="185"/>
      <c r="X3" s="185"/>
      <c r="Y3" s="185"/>
      <c r="Z3" s="185"/>
      <c r="AA3" s="185"/>
      <c r="AB3" s="185"/>
    </row>
    <row r="4" spans="2:28" x14ac:dyDescent="0.3">
      <c r="B4" s="184"/>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row>
    <row r="5" spans="2:28" x14ac:dyDescent="0.3">
      <c r="B5" s="184"/>
      <c r="C5" s="184"/>
      <c r="D5" s="184"/>
      <c r="E5" s="185"/>
      <c r="F5" s="185"/>
      <c r="G5" s="185" t="s">
        <v>229</v>
      </c>
      <c r="H5" s="185">
        <v>0</v>
      </c>
      <c r="I5" s="185">
        <v>1</v>
      </c>
      <c r="J5" s="185">
        <v>2</v>
      </c>
      <c r="K5" s="185">
        <v>3</v>
      </c>
      <c r="L5" s="185">
        <v>4</v>
      </c>
      <c r="M5" s="185">
        <v>5</v>
      </c>
      <c r="N5" s="185">
        <v>6</v>
      </c>
      <c r="O5" s="185">
        <v>7</v>
      </c>
      <c r="P5" s="185">
        <v>8</v>
      </c>
      <c r="Q5" s="185">
        <v>9</v>
      </c>
      <c r="R5" s="185">
        <v>10</v>
      </c>
      <c r="S5" s="185">
        <v>11</v>
      </c>
      <c r="T5" s="185">
        <v>12</v>
      </c>
      <c r="U5" s="185">
        <v>13</v>
      </c>
      <c r="V5" s="185">
        <v>14</v>
      </c>
      <c r="W5" s="185">
        <v>15</v>
      </c>
      <c r="X5" s="185">
        <v>16</v>
      </c>
      <c r="Y5" s="185">
        <v>17</v>
      </c>
      <c r="Z5" s="185">
        <v>18</v>
      </c>
      <c r="AA5" s="185">
        <v>19</v>
      </c>
      <c r="AB5" s="185">
        <v>20</v>
      </c>
    </row>
    <row r="6" spans="2:28" x14ac:dyDescent="0.3">
      <c r="B6" s="184"/>
      <c r="C6" s="184"/>
      <c r="D6" s="184"/>
      <c r="E6" s="614"/>
      <c r="F6" s="614"/>
      <c r="G6" s="614"/>
      <c r="H6" s="544">
        <v>2020</v>
      </c>
      <c r="I6" s="544">
        <v>2021</v>
      </c>
      <c r="J6" s="544">
        <v>2022</v>
      </c>
      <c r="K6" s="544">
        <v>2023</v>
      </c>
      <c r="L6" s="544">
        <v>2024</v>
      </c>
      <c r="M6" s="544">
        <v>2025</v>
      </c>
      <c r="N6" s="544">
        <v>2026</v>
      </c>
      <c r="O6" s="544">
        <v>2027</v>
      </c>
      <c r="P6" s="544">
        <v>2028</v>
      </c>
      <c r="Q6" s="544">
        <v>2029</v>
      </c>
      <c r="R6" s="544">
        <v>2030</v>
      </c>
      <c r="S6" s="544">
        <v>2031</v>
      </c>
      <c r="T6" s="544">
        <v>2032</v>
      </c>
      <c r="U6" s="544">
        <v>2033</v>
      </c>
      <c r="V6" s="544">
        <v>2034</v>
      </c>
      <c r="W6" s="544">
        <v>2035</v>
      </c>
      <c r="X6" s="544">
        <v>2036</v>
      </c>
      <c r="Y6" s="544">
        <v>2037</v>
      </c>
      <c r="Z6" s="544">
        <v>2038</v>
      </c>
      <c r="AA6" s="544">
        <v>2039</v>
      </c>
      <c r="AB6" s="544">
        <v>2040</v>
      </c>
    </row>
    <row r="7" spans="2:28" x14ac:dyDescent="0.3">
      <c r="B7" s="199" t="s">
        <v>559</v>
      </c>
      <c r="C7" s="199"/>
      <c r="D7" s="199"/>
      <c r="E7" s="199"/>
      <c r="F7" s="199"/>
      <c r="G7" s="199"/>
      <c r="H7" s="323"/>
      <c r="I7" s="323"/>
      <c r="J7" s="323"/>
      <c r="K7" s="323"/>
      <c r="L7" s="323"/>
      <c r="M7" s="323"/>
      <c r="N7" s="323"/>
      <c r="O7" s="323"/>
      <c r="P7" s="323"/>
      <c r="Q7" s="323"/>
      <c r="R7" s="323"/>
      <c r="S7" s="323"/>
      <c r="T7" s="323"/>
      <c r="U7" s="323"/>
      <c r="V7" s="323"/>
      <c r="W7" s="323"/>
      <c r="X7" s="323"/>
      <c r="Y7" s="323"/>
      <c r="Z7" s="323"/>
      <c r="AA7" s="323"/>
      <c r="AB7" s="323"/>
    </row>
    <row r="8" spans="2:28" x14ac:dyDescent="0.3">
      <c r="B8" s="623" t="s">
        <v>557</v>
      </c>
      <c r="C8" s="623" t="s">
        <v>95</v>
      </c>
      <c r="D8" s="623"/>
      <c r="E8" s="624"/>
      <c r="F8" s="624"/>
      <c r="G8" s="624"/>
      <c r="H8" s="182">
        <f>'Straight-Line Change'!H25</f>
        <v>-135500.34333333332</v>
      </c>
      <c r="I8" s="182">
        <f>'Straight-Line Change'!I25</f>
        <v>-144337.76499999998</v>
      </c>
      <c r="J8" s="182">
        <f>'Straight-Line Change'!J25</f>
        <v>-153175.18666666665</v>
      </c>
      <c r="K8" s="182">
        <f>'Straight-Line Change'!K25</f>
        <v>-162012.60833333331</v>
      </c>
      <c r="L8" s="182">
        <f>'Straight-Line Change'!L25</f>
        <v>-170850.02999999997</v>
      </c>
      <c r="M8" s="182">
        <f>'Straight-Line Change'!M25</f>
        <v>-179687.45166666663</v>
      </c>
      <c r="N8" s="182">
        <f>'Straight-Line Change'!N25</f>
        <v>-188524.87333333329</v>
      </c>
      <c r="O8" s="182">
        <f>'Straight-Line Change'!O25</f>
        <v>-197362.29499999995</v>
      </c>
      <c r="P8" s="182">
        <f>'Straight-Line Change'!P25</f>
        <v>-206199.71666666662</v>
      </c>
      <c r="Q8" s="182">
        <f>'Straight-Line Change'!Q25</f>
        <v>-215037.13833333328</v>
      </c>
      <c r="R8" s="182">
        <f>'Straight-Line Change'!R25</f>
        <v>-223874.55999999994</v>
      </c>
      <c r="S8" s="182">
        <f>'Straight-Line Change'!S25</f>
        <v>-232711.9816666666</v>
      </c>
      <c r="T8" s="182">
        <f>'Straight-Line Change'!T25</f>
        <v>-241549.40333333326</v>
      </c>
      <c r="U8" s="182">
        <f>'Straight-Line Change'!U25</f>
        <v>-250386.82499999992</v>
      </c>
      <c r="V8" s="182">
        <f>'Straight-Line Change'!V25</f>
        <v>-259224.24666666659</v>
      </c>
      <c r="W8" s="182">
        <f>'Straight-Line Change'!W25</f>
        <v>-268061.66833333322</v>
      </c>
      <c r="X8" s="182">
        <f>'Straight-Line Change'!X25</f>
        <v>-276899.08999999985</v>
      </c>
      <c r="Y8" s="182">
        <f>'Straight-Line Change'!Y25</f>
        <v>-285736.51166666648</v>
      </c>
      <c r="Z8" s="182">
        <f>'Straight-Line Change'!Z25</f>
        <v>-294573.93333333312</v>
      </c>
      <c r="AA8" s="182">
        <f>'Straight-Line Change'!AA25</f>
        <v>-303411.35499999975</v>
      </c>
      <c r="AB8" s="182">
        <f>'Straight-Line Change'!AB25</f>
        <v>-312248.7766666665</v>
      </c>
    </row>
    <row r="9" spans="2:28" x14ac:dyDescent="0.3">
      <c r="B9" s="623" t="s">
        <v>557</v>
      </c>
      <c r="C9" s="623" t="s">
        <v>4</v>
      </c>
      <c r="D9" s="623"/>
      <c r="E9" s="624"/>
      <c r="F9" s="624"/>
      <c r="G9" s="624"/>
      <c r="H9" s="182">
        <f>'Straight-Line Change'!H26</f>
        <v>-28780.39194444444</v>
      </c>
      <c r="I9" s="182">
        <f>'Straight-Line Change'!I26</f>
        <v>-31035.858749999992</v>
      </c>
      <c r="J9" s="182">
        <f>'Straight-Line Change'!J26</f>
        <v>-33291.325555555544</v>
      </c>
      <c r="K9" s="182">
        <f>'Straight-Line Change'!K26</f>
        <v>-35546.792361111096</v>
      </c>
      <c r="L9" s="182">
        <f>'Straight-Line Change'!L26</f>
        <v>-37802.259166666649</v>
      </c>
      <c r="M9" s="182">
        <f>'Straight-Line Change'!M26</f>
        <v>-40057.725972222201</v>
      </c>
      <c r="N9" s="182">
        <f>'Straight-Line Change'!N26</f>
        <v>-42313.192777777753</v>
      </c>
      <c r="O9" s="182">
        <f>'Straight-Line Change'!O26</f>
        <v>-44568.659583333305</v>
      </c>
      <c r="P9" s="182">
        <f>'Straight-Line Change'!P26</f>
        <v>-46824.126388888857</v>
      </c>
      <c r="Q9" s="182">
        <f>'Straight-Line Change'!Q26</f>
        <v>-49079.593194444409</v>
      </c>
      <c r="R9" s="182">
        <f>'Straight-Line Change'!R26</f>
        <v>-51335.059999999961</v>
      </c>
      <c r="S9" s="182">
        <f>'Straight-Line Change'!S26</f>
        <v>-53590.526805555513</v>
      </c>
      <c r="T9" s="182">
        <f>'Straight-Line Change'!T26</f>
        <v>-55845.993611111066</v>
      </c>
      <c r="U9" s="182">
        <f>'Straight-Line Change'!U26</f>
        <v>-58101.460416666618</v>
      </c>
      <c r="V9" s="182">
        <f>'Straight-Line Change'!V26</f>
        <v>-60356.92722222217</v>
      </c>
      <c r="W9" s="182">
        <f>'Straight-Line Change'!W26</f>
        <v>-62612.394027777722</v>
      </c>
      <c r="X9" s="182">
        <f>'Straight-Line Change'!X26</f>
        <v>-64867.860833333274</v>
      </c>
      <c r="Y9" s="182">
        <f>'Straight-Line Change'!Y26</f>
        <v>-67123.327638888833</v>
      </c>
      <c r="Z9" s="182">
        <f>'Straight-Line Change'!Z26</f>
        <v>-69378.794444444386</v>
      </c>
      <c r="AA9" s="182">
        <f>'Straight-Line Change'!AA26</f>
        <v>-71634.261249999938</v>
      </c>
      <c r="AB9" s="182">
        <f>'Straight-Line Change'!AB26</f>
        <v>-73889.728055555519</v>
      </c>
    </row>
    <row r="10" spans="2:28" x14ac:dyDescent="0.3">
      <c r="B10" s="623" t="s">
        <v>557</v>
      </c>
      <c r="C10" s="623" t="s">
        <v>93</v>
      </c>
      <c r="D10" s="623"/>
      <c r="E10" s="624"/>
      <c r="F10" s="624"/>
      <c r="G10" s="624"/>
      <c r="H10" s="182">
        <f>'Straight-Line Change'!H27</f>
        <v>-164280.73527777777</v>
      </c>
      <c r="I10" s="182">
        <f>'Straight-Line Change'!I27</f>
        <v>-175373.62374999997</v>
      </c>
      <c r="J10" s="182">
        <f>'Straight-Line Change'!J27</f>
        <v>-186466.51222222217</v>
      </c>
      <c r="K10" s="182">
        <f>'Straight-Line Change'!K27</f>
        <v>-197559.40069444437</v>
      </c>
      <c r="L10" s="182">
        <f>'Straight-Line Change'!L27</f>
        <v>-208652.28916666657</v>
      </c>
      <c r="M10" s="182">
        <f>'Straight-Line Change'!M27</f>
        <v>-219745.17763888877</v>
      </c>
      <c r="N10" s="182">
        <f>'Straight-Line Change'!N27</f>
        <v>-230838.06611111097</v>
      </c>
      <c r="O10" s="182">
        <f>'Straight-Line Change'!O27</f>
        <v>-241930.95458333316</v>
      </c>
      <c r="P10" s="182">
        <f>'Straight-Line Change'!P27</f>
        <v>-253023.84305555536</v>
      </c>
      <c r="Q10" s="182">
        <f>'Straight-Line Change'!Q27</f>
        <v>-264116.73152777756</v>
      </c>
      <c r="R10" s="182">
        <f>'Straight-Line Change'!R27</f>
        <v>-275209.61999999976</v>
      </c>
      <c r="S10" s="182">
        <f>'Straight-Line Change'!S27</f>
        <v>-286302.50847222196</v>
      </c>
      <c r="T10" s="182">
        <f>'Straight-Line Change'!T27</f>
        <v>-297395.39694444416</v>
      </c>
      <c r="U10" s="182">
        <f>'Straight-Line Change'!U27</f>
        <v>-308488.28541666636</v>
      </c>
      <c r="V10" s="182">
        <f>'Straight-Line Change'!V27</f>
        <v>-319581.17388888856</v>
      </c>
      <c r="W10" s="182">
        <f>'Straight-Line Change'!W27</f>
        <v>-330674.06236111076</v>
      </c>
      <c r="X10" s="182">
        <f>'Straight-Line Change'!X27</f>
        <v>-341766.95083333296</v>
      </c>
      <c r="Y10" s="182">
        <f>'Straight-Line Change'!Y27</f>
        <v>-352859.83930555516</v>
      </c>
      <c r="Z10" s="182">
        <f>'Straight-Line Change'!Z27</f>
        <v>-363952.72777777736</v>
      </c>
      <c r="AA10" s="182">
        <f>'Straight-Line Change'!AA27</f>
        <v>-375045.61624999956</v>
      </c>
      <c r="AB10" s="182">
        <f>'Straight-Line Change'!AB27</f>
        <v>-386138.50472222199</v>
      </c>
    </row>
    <row r="11" spans="2:28" x14ac:dyDescent="0.3">
      <c r="B11" s="199" t="s">
        <v>562</v>
      </c>
      <c r="C11" s="340"/>
      <c r="D11" s="340"/>
      <c r="E11" s="340"/>
      <c r="F11" s="340"/>
      <c r="G11" s="340"/>
      <c r="H11" s="607"/>
      <c r="I11" s="607"/>
      <c r="J11" s="607"/>
      <c r="K11" s="607"/>
      <c r="L11" s="607"/>
      <c r="M11" s="607"/>
      <c r="N11" s="607"/>
      <c r="O11" s="607"/>
      <c r="P11" s="607"/>
      <c r="Q11" s="607"/>
      <c r="R11" s="607"/>
      <c r="S11" s="607"/>
      <c r="T11" s="607"/>
      <c r="U11" s="607"/>
      <c r="V11" s="607"/>
      <c r="W11" s="607"/>
      <c r="X11" s="607"/>
      <c r="Y11" s="607"/>
      <c r="Z11" s="607"/>
      <c r="AA11" s="607"/>
      <c r="AB11" s="607"/>
    </row>
    <row r="12" spans="2:28" x14ac:dyDescent="0.3">
      <c r="B12" s="194"/>
      <c r="C12" s="178" t="s">
        <v>95</v>
      </c>
      <c r="D12" s="618">
        <f>'Unit Costs'!C3</f>
        <v>20.399999999999999</v>
      </c>
      <c r="E12" s="178" t="s">
        <v>560</v>
      </c>
      <c r="F12" s="615">
        <v>1.5</v>
      </c>
      <c r="G12" s="178" t="s">
        <v>566</v>
      </c>
      <c r="H12" s="621">
        <f>H8*$D12*$F12</f>
        <v>-4146310.5059999996</v>
      </c>
      <c r="I12" s="621">
        <f>I8*$D12*$F12</f>
        <v>-4416735.6089999992</v>
      </c>
      <c r="J12" s="621">
        <f t="shared" ref="J12:AB12" si="0">J8*$D12*$F12</f>
        <v>-4687160.7119999994</v>
      </c>
      <c r="K12" s="621">
        <f t="shared" si="0"/>
        <v>-4957585.8149999985</v>
      </c>
      <c r="L12" s="621">
        <f t="shared" si="0"/>
        <v>-5228010.9179999987</v>
      </c>
      <c r="M12" s="621">
        <f t="shared" si="0"/>
        <v>-5498436.0209999988</v>
      </c>
      <c r="N12" s="621">
        <f t="shared" si="0"/>
        <v>-5768861.123999998</v>
      </c>
      <c r="O12" s="621">
        <f t="shared" si="0"/>
        <v>-6039286.2269999981</v>
      </c>
      <c r="P12" s="621">
        <f t="shared" si="0"/>
        <v>-6309711.3299999982</v>
      </c>
      <c r="Q12" s="621">
        <f t="shared" si="0"/>
        <v>-6580136.4329999983</v>
      </c>
      <c r="R12" s="621">
        <f t="shared" si="0"/>
        <v>-6850561.5359999975</v>
      </c>
      <c r="S12" s="621">
        <f t="shared" si="0"/>
        <v>-7120986.6389999967</v>
      </c>
      <c r="T12" s="621">
        <f t="shared" si="0"/>
        <v>-7391411.7419999968</v>
      </c>
      <c r="U12" s="621">
        <f t="shared" si="0"/>
        <v>-7661836.8449999969</v>
      </c>
      <c r="V12" s="621">
        <f t="shared" si="0"/>
        <v>-7932261.9479999971</v>
      </c>
      <c r="W12" s="621">
        <f t="shared" si="0"/>
        <v>-8202687.0509999953</v>
      </c>
      <c r="X12" s="621">
        <f t="shared" si="0"/>
        <v>-8473112.1539999954</v>
      </c>
      <c r="Y12" s="621">
        <f t="shared" si="0"/>
        <v>-8743537.2569999937</v>
      </c>
      <c r="Z12" s="621">
        <f t="shared" si="0"/>
        <v>-9013962.3599999938</v>
      </c>
      <c r="AA12" s="621">
        <f t="shared" si="0"/>
        <v>-9284387.4629999921</v>
      </c>
      <c r="AB12" s="621">
        <f t="shared" si="0"/>
        <v>-9554812.5659999941</v>
      </c>
    </row>
    <row r="13" spans="2:28" x14ac:dyDescent="0.3">
      <c r="B13" s="194"/>
      <c r="C13" s="178" t="s">
        <v>4</v>
      </c>
      <c r="D13" s="618">
        <f>'Unit Costs'!C4</f>
        <v>27.2</v>
      </c>
      <c r="E13" s="178" t="s">
        <v>560</v>
      </c>
      <c r="F13" s="615">
        <v>1</v>
      </c>
      <c r="G13" s="178" t="s">
        <v>565</v>
      </c>
      <c r="H13" s="621">
        <f>H9*$D13*$F13</f>
        <v>-782826.66088888876</v>
      </c>
      <c r="I13" s="621">
        <f t="shared" ref="I13:AB13" si="1">I9*$D13*$F13</f>
        <v>-844175.35799999977</v>
      </c>
      <c r="J13" s="621">
        <f t="shared" si="1"/>
        <v>-905524.05511111079</v>
      </c>
      <c r="K13" s="621">
        <f t="shared" si="1"/>
        <v>-966872.75222222181</v>
      </c>
      <c r="L13" s="621">
        <f t="shared" si="1"/>
        <v>-1028221.4493333328</v>
      </c>
      <c r="M13" s="621">
        <f t="shared" si="1"/>
        <v>-1089570.1464444438</v>
      </c>
      <c r="N13" s="621">
        <f t="shared" si="1"/>
        <v>-1150918.8435555547</v>
      </c>
      <c r="O13" s="621">
        <f t="shared" si="1"/>
        <v>-1212267.5406666659</v>
      </c>
      <c r="P13" s="621">
        <f t="shared" si="1"/>
        <v>-1273616.2377777768</v>
      </c>
      <c r="Q13" s="621">
        <f t="shared" si="1"/>
        <v>-1334964.9348888879</v>
      </c>
      <c r="R13" s="621">
        <f t="shared" si="1"/>
        <v>-1396313.6319999988</v>
      </c>
      <c r="S13" s="621">
        <f t="shared" si="1"/>
        <v>-1457662.32911111</v>
      </c>
      <c r="T13" s="621">
        <f t="shared" si="1"/>
        <v>-1519011.0262222209</v>
      </c>
      <c r="U13" s="621">
        <f t="shared" si="1"/>
        <v>-1580359.723333332</v>
      </c>
      <c r="V13" s="621">
        <f t="shared" si="1"/>
        <v>-1641708.4204444429</v>
      </c>
      <c r="W13" s="621">
        <f t="shared" si="1"/>
        <v>-1703057.117555554</v>
      </c>
      <c r="X13" s="621">
        <f t="shared" si="1"/>
        <v>-1764405.8146666649</v>
      </c>
      <c r="Y13" s="621">
        <f t="shared" si="1"/>
        <v>-1825754.5117777763</v>
      </c>
      <c r="Z13" s="621">
        <f t="shared" si="1"/>
        <v>-1887103.2088888872</v>
      </c>
      <c r="AA13" s="621">
        <f t="shared" si="1"/>
        <v>-1948451.9059999983</v>
      </c>
      <c r="AB13" s="621">
        <f t="shared" si="1"/>
        <v>-2009800.6031111102</v>
      </c>
    </row>
    <row r="14" spans="2:28" x14ac:dyDescent="0.3">
      <c r="B14" s="194"/>
      <c r="C14" s="178" t="s">
        <v>93</v>
      </c>
      <c r="D14" s="178"/>
      <c r="E14" s="194"/>
      <c r="F14" s="194"/>
      <c r="G14" s="194"/>
      <c r="H14" s="621">
        <f>H12+H13</f>
        <v>-4929137.166888888</v>
      </c>
      <c r="I14" s="621">
        <f t="shared" ref="I14:AB14" si="2">I12+I13</f>
        <v>-5260910.9669999992</v>
      </c>
      <c r="J14" s="621">
        <f t="shared" si="2"/>
        <v>-5592684.7671111105</v>
      </c>
      <c r="K14" s="621">
        <f t="shared" si="2"/>
        <v>-5924458.5672222208</v>
      </c>
      <c r="L14" s="621">
        <f t="shared" si="2"/>
        <v>-6256232.3673333311</v>
      </c>
      <c r="M14" s="621">
        <f t="shared" si="2"/>
        <v>-6588006.1674444424</v>
      </c>
      <c r="N14" s="621">
        <f t="shared" si="2"/>
        <v>-6919779.9675555527</v>
      </c>
      <c r="O14" s="621">
        <f t="shared" si="2"/>
        <v>-7251553.767666664</v>
      </c>
      <c r="P14" s="621">
        <f t="shared" si="2"/>
        <v>-7583327.5677777752</v>
      </c>
      <c r="Q14" s="621">
        <f t="shared" si="2"/>
        <v>-7915101.3678888865</v>
      </c>
      <c r="R14" s="621">
        <f t="shared" si="2"/>
        <v>-8246875.1679999959</v>
      </c>
      <c r="S14" s="621">
        <f t="shared" si="2"/>
        <v>-8578648.9681111071</v>
      </c>
      <c r="T14" s="621">
        <f t="shared" si="2"/>
        <v>-8910422.7682222184</v>
      </c>
      <c r="U14" s="621">
        <f t="shared" si="2"/>
        <v>-9242196.5683333296</v>
      </c>
      <c r="V14" s="621">
        <f t="shared" si="2"/>
        <v>-9573970.368444439</v>
      </c>
      <c r="W14" s="621">
        <f t="shared" si="2"/>
        <v>-9905744.1685555503</v>
      </c>
      <c r="X14" s="621">
        <f t="shared" si="2"/>
        <v>-10237517.96866666</v>
      </c>
      <c r="Y14" s="621">
        <f t="shared" si="2"/>
        <v>-10569291.768777769</v>
      </c>
      <c r="Z14" s="621">
        <f t="shared" si="2"/>
        <v>-10901065.56888888</v>
      </c>
      <c r="AA14" s="621">
        <f t="shared" si="2"/>
        <v>-11232839.36899999</v>
      </c>
      <c r="AB14" s="621">
        <f t="shared" si="2"/>
        <v>-11564613.169111105</v>
      </c>
    </row>
    <row r="15" spans="2:28" x14ac:dyDescent="0.3">
      <c r="B15" s="199" t="s">
        <v>561</v>
      </c>
      <c r="C15" s="199"/>
      <c r="D15" s="199"/>
      <c r="E15" s="199"/>
      <c r="F15" s="199"/>
      <c r="G15" s="199"/>
      <c r="H15" s="323"/>
      <c r="I15" s="323"/>
      <c r="J15" s="323"/>
      <c r="K15" s="323"/>
      <c r="L15" s="323"/>
      <c r="M15" s="323"/>
      <c r="N15" s="323"/>
      <c r="O15" s="323"/>
      <c r="P15" s="323"/>
      <c r="Q15" s="323"/>
      <c r="R15" s="323"/>
      <c r="S15" s="323"/>
      <c r="T15" s="323"/>
      <c r="U15" s="323"/>
      <c r="V15" s="323"/>
      <c r="W15" s="323"/>
      <c r="X15" s="323"/>
      <c r="Y15" s="323"/>
      <c r="Z15" s="323"/>
      <c r="AA15" s="323"/>
      <c r="AB15" s="323"/>
    </row>
    <row r="16" spans="2:28" x14ac:dyDescent="0.3">
      <c r="B16" s="194"/>
      <c r="C16" s="178" t="s">
        <v>95</v>
      </c>
      <c r="D16" s="619">
        <f>'Unit Costs'!C31</f>
        <v>3.0274440000000005</v>
      </c>
      <c r="E16" s="178" t="s">
        <v>560</v>
      </c>
      <c r="F16" s="178"/>
      <c r="G16" s="178"/>
      <c r="H16" s="621">
        <f>H8*$D16</f>
        <v>-410219.70142244</v>
      </c>
      <c r="I16" s="621">
        <f t="shared" ref="I16:AB16" si="3">I8*$D16</f>
        <v>-436974.50062266004</v>
      </c>
      <c r="J16" s="621">
        <f t="shared" si="3"/>
        <v>-463729.29982288001</v>
      </c>
      <c r="K16" s="621">
        <f t="shared" si="3"/>
        <v>-490484.09902309999</v>
      </c>
      <c r="L16" s="621">
        <f t="shared" si="3"/>
        <v>-517238.89822331996</v>
      </c>
      <c r="M16" s="621">
        <f t="shared" si="3"/>
        <v>-543993.69742353994</v>
      </c>
      <c r="N16" s="621">
        <f t="shared" si="3"/>
        <v>-570748.49662375997</v>
      </c>
      <c r="O16" s="621">
        <f t="shared" si="3"/>
        <v>-597503.29582398001</v>
      </c>
      <c r="P16" s="621">
        <f t="shared" si="3"/>
        <v>-624258.09502419992</v>
      </c>
      <c r="Q16" s="621">
        <f t="shared" si="3"/>
        <v>-651012.89422441996</v>
      </c>
      <c r="R16" s="621">
        <f t="shared" si="3"/>
        <v>-677767.69342463987</v>
      </c>
      <c r="S16" s="621">
        <f t="shared" si="3"/>
        <v>-704522.49262485991</v>
      </c>
      <c r="T16" s="621">
        <f t="shared" si="3"/>
        <v>-731277.29182507994</v>
      </c>
      <c r="U16" s="621">
        <f t="shared" si="3"/>
        <v>-758032.09102529986</v>
      </c>
      <c r="V16" s="621">
        <f t="shared" si="3"/>
        <v>-784786.89022551989</v>
      </c>
      <c r="W16" s="621">
        <f t="shared" si="3"/>
        <v>-811541.68942573981</v>
      </c>
      <c r="X16" s="621">
        <f t="shared" si="3"/>
        <v>-838296.48862595973</v>
      </c>
      <c r="Y16" s="621">
        <f t="shared" si="3"/>
        <v>-865051.28782617953</v>
      </c>
      <c r="Z16" s="621">
        <f t="shared" si="3"/>
        <v>-891806.08702639944</v>
      </c>
      <c r="AA16" s="621">
        <f t="shared" si="3"/>
        <v>-918560.88622661936</v>
      </c>
      <c r="AB16" s="621">
        <f t="shared" si="3"/>
        <v>-945315.68542683963</v>
      </c>
    </row>
    <row r="17" spans="2:28" x14ac:dyDescent="0.3">
      <c r="B17" s="194"/>
      <c r="C17" s="178" t="s">
        <v>4</v>
      </c>
      <c r="D17" s="618">
        <f>'Unit Costs'!C32</f>
        <v>18.60385046024674</v>
      </c>
      <c r="E17" s="178" t="s">
        <v>560</v>
      </c>
      <c r="F17" s="178"/>
      <c r="G17" s="178"/>
      <c r="H17" s="621">
        <f>H9*$D17</f>
        <v>-535426.10792173422</v>
      </c>
      <c r="I17" s="621">
        <f t="shared" ref="I17:AB17" si="4">I9*$D17</f>
        <v>-577386.47509034013</v>
      </c>
      <c r="J17" s="621">
        <f t="shared" si="4"/>
        <v>-619346.84225894604</v>
      </c>
      <c r="K17" s="621">
        <f t="shared" si="4"/>
        <v>-661307.20942755195</v>
      </c>
      <c r="L17" s="621">
        <f t="shared" si="4"/>
        <v>-703267.57659615786</v>
      </c>
      <c r="M17" s="621">
        <f t="shared" si="4"/>
        <v>-745227.94376476377</v>
      </c>
      <c r="N17" s="621">
        <f t="shared" si="4"/>
        <v>-787188.31093336968</v>
      </c>
      <c r="O17" s="621">
        <f t="shared" si="4"/>
        <v>-829148.67810197559</v>
      </c>
      <c r="P17" s="621">
        <f t="shared" si="4"/>
        <v>-871109.0452705815</v>
      </c>
      <c r="Q17" s="621">
        <f t="shared" si="4"/>
        <v>-913069.41243918741</v>
      </c>
      <c r="R17" s="621">
        <f t="shared" si="4"/>
        <v>-955029.77960779332</v>
      </c>
      <c r="S17" s="621">
        <f t="shared" si="4"/>
        <v>-996990.14677639923</v>
      </c>
      <c r="T17" s="621">
        <f t="shared" si="4"/>
        <v>-1038950.5139450051</v>
      </c>
      <c r="U17" s="621">
        <f t="shared" si="4"/>
        <v>-1080910.8811136109</v>
      </c>
      <c r="V17" s="621">
        <f t="shared" si="4"/>
        <v>-1122871.248282217</v>
      </c>
      <c r="W17" s="621">
        <f t="shared" si="4"/>
        <v>-1164831.6154508227</v>
      </c>
      <c r="X17" s="621">
        <f t="shared" si="4"/>
        <v>-1206791.9826194288</v>
      </c>
      <c r="Y17" s="621">
        <f t="shared" si="4"/>
        <v>-1248752.3497880348</v>
      </c>
      <c r="Z17" s="621">
        <f t="shared" si="4"/>
        <v>-1290712.7169566406</v>
      </c>
      <c r="AA17" s="621">
        <f t="shared" si="4"/>
        <v>-1332673.0841252466</v>
      </c>
      <c r="AB17" s="621">
        <f t="shared" si="4"/>
        <v>-1374633.4512938529</v>
      </c>
    </row>
    <row r="18" spans="2:28" x14ac:dyDescent="0.3">
      <c r="B18" s="194"/>
      <c r="C18" s="178" t="s">
        <v>93</v>
      </c>
      <c r="D18" s="178"/>
      <c r="E18" s="178"/>
      <c r="F18" s="178"/>
      <c r="G18" s="178"/>
      <c r="H18" s="621">
        <f>H16+H17</f>
        <v>-945645.80934417422</v>
      </c>
      <c r="I18" s="621">
        <f t="shared" ref="I18" si="5">I16+I17</f>
        <v>-1014360.9757130002</v>
      </c>
      <c r="J18" s="621">
        <f t="shared" ref="J18" si="6">J16+J17</f>
        <v>-1083076.142081826</v>
      </c>
      <c r="K18" s="621">
        <f t="shared" ref="K18" si="7">K16+K17</f>
        <v>-1151791.3084506518</v>
      </c>
      <c r="L18" s="621">
        <f t="shared" ref="L18" si="8">L16+L17</f>
        <v>-1220506.4748194779</v>
      </c>
      <c r="M18" s="621">
        <f t="shared" ref="M18" si="9">M16+M17</f>
        <v>-1289221.6411883037</v>
      </c>
      <c r="N18" s="621">
        <f t="shared" ref="N18" si="10">N16+N17</f>
        <v>-1357936.8075571298</v>
      </c>
      <c r="O18" s="621">
        <f t="shared" ref="O18" si="11">O16+O17</f>
        <v>-1426651.9739259556</v>
      </c>
      <c r="P18" s="621">
        <f t="shared" ref="P18" si="12">P16+P17</f>
        <v>-1495367.1402947814</v>
      </c>
      <c r="Q18" s="621">
        <f t="shared" ref="Q18" si="13">Q16+Q17</f>
        <v>-1564082.3066636072</v>
      </c>
      <c r="R18" s="621">
        <f t="shared" ref="R18" si="14">R16+R17</f>
        <v>-1632797.4730324331</v>
      </c>
      <c r="S18" s="621">
        <f t="shared" ref="S18" si="15">S16+S17</f>
        <v>-1701512.6394012591</v>
      </c>
      <c r="T18" s="621">
        <f t="shared" ref="T18" si="16">T16+T17</f>
        <v>-1770227.8057700852</v>
      </c>
      <c r="U18" s="621">
        <f t="shared" ref="U18" si="17">U16+U17</f>
        <v>-1838942.9721389108</v>
      </c>
      <c r="V18" s="621">
        <f t="shared" ref="V18" si="18">V16+V17</f>
        <v>-1907658.1385077368</v>
      </c>
      <c r="W18" s="621">
        <f t="shared" ref="W18" si="19">W16+W17</f>
        <v>-1976373.3048765627</v>
      </c>
      <c r="X18" s="621">
        <f t="shared" ref="X18" si="20">X16+X17</f>
        <v>-2045088.4712453885</v>
      </c>
      <c r="Y18" s="621">
        <f t="shared" ref="Y18" si="21">Y16+Y17</f>
        <v>-2113803.6376142143</v>
      </c>
      <c r="Z18" s="621">
        <f t="shared" ref="Z18" si="22">Z16+Z17</f>
        <v>-2182518.8039830402</v>
      </c>
      <c r="AA18" s="621">
        <f t="shared" ref="AA18" si="23">AA16+AA17</f>
        <v>-2251233.970351866</v>
      </c>
      <c r="AB18" s="621">
        <f t="shared" ref="AB18" si="24">AB16+AB17</f>
        <v>-2319949.1367206927</v>
      </c>
    </row>
    <row r="19" spans="2:28" x14ac:dyDescent="0.3">
      <c r="B19" s="199" t="s">
        <v>563</v>
      </c>
      <c r="C19" s="199"/>
      <c r="D19" s="199"/>
      <c r="E19" s="199"/>
      <c r="F19" s="199"/>
      <c r="G19" s="199"/>
      <c r="H19" s="323"/>
      <c r="I19" s="323"/>
      <c r="J19" s="323"/>
      <c r="K19" s="323"/>
      <c r="L19" s="323"/>
      <c r="M19" s="323"/>
      <c r="N19" s="323"/>
      <c r="O19" s="323"/>
      <c r="P19" s="323"/>
      <c r="Q19" s="323"/>
      <c r="R19" s="323"/>
      <c r="S19" s="323"/>
      <c r="T19" s="323"/>
      <c r="U19" s="323"/>
      <c r="V19" s="323"/>
      <c r="W19" s="323"/>
      <c r="X19" s="323"/>
      <c r="Y19" s="323"/>
      <c r="Z19" s="323"/>
      <c r="AA19" s="323"/>
      <c r="AB19" s="323"/>
    </row>
    <row r="20" spans="2:28" x14ac:dyDescent="0.3">
      <c r="B20" s="194"/>
      <c r="C20" s="178" t="s">
        <v>95</v>
      </c>
      <c r="D20" s="618">
        <f>'Unit Costs'!C33</f>
        <v>2.2559999999999998</v>
      </c>
      <c r="E20" s="178" t="s">
        <v>564</v>
      </c>
      <c r="F20" s="620">
        <f>'Unit Costs'!C35</f>
        <v>2.3978534999999996</v>
      </c>
      <c r="G20" s="178" t="s">
        <v>598</v>
      </c>
      <c r="H20" s="621">
        <f>H8*$D20*$F20</f>
        <v>-732996.89798940672</v>
      </c>
      <c r="I20" s="621">
        <f t="shared" ref="I20:AB20" si="25">I8*$D20*$F20</f>
        <v>-780803.43861163605</v>
      </c>
      <c r="J20" s="621">
        <f t="shared" si="25"/>
        <v>-828609.97923386563</v>
      </c>
      <c r="K20" s="621">
        <f t="shared" si="25"/>
        <v>-876416.51985609508</v>
      </c>
      <c r="L20" s="621">
        <f t="shared" si="25"/>
        <v>-924223.06047832454</v>
      </c>
      <c r="M20" s="621">
        <f t="shared" si="25"/>
        <v>-972029.60110055387</v>
      </c>
      <c r="N20" s="621">
        <f t="shared" si="25"/>
        <v>-1019836.1417227833</v>
      </c>
      <c r="O20" s="621">
        <f t="shared" si="25"/>
        <v>-1067642.6823450127</v>
      </c>
      <c r="P20" s="621">
        <f t="shared" si="25"/>
        <v>-1115449.2229672424</v>
      </c>
      <c r="Q20" s="621">
        <f t="shared" si="25"/>
        <v>-1163255.7635894718</v>
      </c>
      <c r="R20" s="621">
        <f t="shared" si="25"/>
        <v>-1211062.304211701</v>
      </c>
      <c r="S20" s="621">
        <f t="shared" si="25"/>
        <v>-1258868.8448339307</v>
      </c>
      <c r="T20" s="621">
        <f t="shared" si="25"/>
        <v>-1306675.3854561599</v>
      </c>
      <c r="U20" s="621">
        <f t="shared" si="25"/>
        <v>-1354481.9260783896</v>
      </c>
      <c r="V20" s="621">
        <f t="shared" si="25"/>
        <v>-1402288.4667006189</v>
      </c>
      <c r="W20" s="621">
        <f t="shared" si="25"/>
        <v>-1450095.0073228481</v>
      </c>
      <c r="X20" s="621">
        <f t="shared" si="25"/>
        <v>-1497901.5479450773</v>
      </c>
      <c r="Y20" s="621">
        <f t="shared" si="25"/>
        <v>-1545708.0885673065</v>
      </c>
      <c r="Z20" s="621">
        <f t="shared" si="25"/>
        <v>-1593514.629189536</v>
      </c>
      <c r="AA20" s="621">
        <f t="shared" si="25"/>
        <v>-1641321.1698117652</v>
      </c>
      <c r="AB20" s="621">
        <f t="shared" si="25"/>
        <v>-1689127.7104339954</v>
      </c>
    </row>
    <row r="21" spans="2:28" x14ac:dyDescent="0.3">
      <c r="B21" s="194"/>
      <c r="C21" s="178" t="s">
        <v>4</v>
      </c>
      <c r="D21" s="618">
        <f>'Unit Costs'!C34</f>
        <v>2.5760000000000001</v>
      </c>
      <c r="E21" s="178" t="s">
        <v>564</v>
      </c>
      <c r="F21" s="620">
        <f>'Unit Costs'!C36</f>
        <v>7.6666666666666661</v>
      </c>
      <c r="G21" s="178" t="s">
        <v>598</v>
      </c>
      <c r="H21" s="621">
        <f>H9*$D21*$F21</f>
        <v>-568393.55397481471</v>
      </c>
      <c r="I21" s="621">
        <f>I9*$D21*$F21</f>
        <v>-612937.51973999979</v>
      </c>
      <c r="J21" s="621">
        <f t="shared" ref="J21:AB21" si="26">J9*$D21*$F21</f>
        <v>-657481.48550518497</v>
      </c>
      <c r="K21" s="621">
        <f t="shared" si="26"/>
        <v>-702025.45127037005</v>
      </c>
      <c r="L21" s="621">
        <f t="shared" si="26"/>
        <v>-746569.41703555512</v>
      </c>
      <c r="M21" s="621">
        <f t="shared" si="26"/>
        <v>-791113.38280074031</v>
      </c>
      <c r="N21" s="621">
        <f t="shared" si="26"/>
        <v>-835657.34856592538</v>
      </c>
      <c r="O21" s="621">
        <f t="shared" si="26"/>
        <v>-880201.31433111045</v>
      </c>
      <c r="P21" s="621">
        <f t="shared" si="26"/>
        <v>-924745.28009629564</v>
      </c>
      <c r="Q21" s="621">
        <f t="shared" si="26"/>
        <v>-969289.24586148071</v>
      </c>
      <c r="R21" s="621">
        <f t="shared" si="26"/>
        <v>-1013833.2116266658</v>
      </c>
      <c r="S21" s="621">
        <f t="shared" si="26"/>
        <v>-1058377.1773918509</v>
      </c>
      <c r="T21" s="621">
        <f t="shared" si="26"/>
        <v>-1102921.143157036</v>
      </c>
      <c r="U21" s="621">
        <f t="shared" si="26"/>
        <v>-1147465.1089222212</v>
      </c>
      <c r="V21" s="621">
        <f t="shared" si="26"/>
        <v>-1192009.0746874064</v>
      </c>
      <c r="W21" s="621">
        <f t="shared" si="26"/>
        <v>-1236553.0404525914</v>
      </c>
      <c r="X21" s="621">
        <f t="shared" si="26"/>
        <v>-1281097.0062177766</v>
      </c>
      <c r="Y21" s="621">
        <f t="shared" si="26"/>
        <v>-1325640.9719829618</v>
      </c>
      <c r="Z21" s="621">
        <f t="shared" si="26"/>
        <v>-1370184.9377481469</v>
      </c>
      <c r="AA21" s="621">
        <f t="shared" si="26"/>
        <v>-1414728.9035133319</v>
      </c>
      <c r="AB21" s="621">
        <f t="shared" si="26"/>
        <v>-1459272.8692785178</v>
      </c>
    </row>
    <row r="22" spans="2:28" x14ac:dyDescent="0.3">
      <c r="B22" s="194"/>
      <c r="C22" s="178" t="s">
        <v>93</v>
      </c>
      <c r="D22" s="178"/>
      <c r="E22" s="178"/>
      <c r="F22" s="178"/>
      <c r="G22" s="178"/>
      <c r="H22" s="621">
        <f>H20+H21</f>
        <v>-1301390.4519642214</v>
      </c>
      <c r="I22" s="621">
        <f t="shared" ref="I22" si="27">I20+I21</f>
        <v>-1393740.9583516358</v>
      </c>
      <c r="J22" s="621">
        <f t="shared" ref="J22" si="28">J20+J21</f>
        <v>-1486091.4647390507</v>
      </c>
      <c r="K22" s="621">
        <f t="shared" ref="K22" si="29">K20+K21</f>
        <v>-1578441.9711264651</v>
      </c>
      <c r="L22" s="621">
        <f t="shared" ref="L22" si="30">L20+L21</f>
        <v>-1670792.4775138795</v>
      </c>
      <c r="M22" s="621">
        <f t="shared" ref="M22" si="31">M20+M21</f>
        <v>-1763142.9839012942</v>
      </c>
      <c r="N22" s="621">
        <f t="shared" ref="N22" si="32">N20+N21</f>
        <v>-1855493.4902887088</v>
      </c>
      <c r="O22" s="621">
        <f t="shared" ref="O22" si="33">O20+O21</f>
        <v>-1947843.9966761232</v>
      </c>
      <c r="P22" s="621">
        <f t="shared" ref="P22" si="34">P20+P21</f>
        <v>-2040194.5030635381</v>
      </c>
      <c r="Q22" s="621">
        <f t="shared" ref="Q22" si="35">Q20+Q21</f>
        <v>-2132545.0094509525</v>
      </c>
      <c r="R22" s="621">
        <f t="shared" ref="R22" si="36">R20+R21</f>
        <v>-2224895.5158383669</v>
      </c>
      <c r="S22" s="621">
        <f t="shared" ref="S22" si="37">S20+S21</f>
        <v>-2317246.0222257813</v>
      </c>
      <c r="T22" s="621">
        <f t="shared" ref="T22" si="38">T20+T21</f>
        <v>-2409596.5286131958</v>
      </c>
      <c r="U22" s="621">
        <f t="shared" ref="U22" si="39">U20+U21</f>
        <v>-2501947.0350006111</v>
      </c>
      <c r="V22" s="621">
        <f t="shared" ref="V22" si="40">V20+V21</f>
        <v>-2594297.5413880255</v>
      </c>
      <c r="W22" s="621">
        <f t="shared" ref="W22" si="41">W20+W21</f>
        <v>-2686648.0477754395</v>
      </c>
      <c r="X22" s="621">
        <f t="shared" ref="X22" si="42">X20+X21</f>
        <v>-2778998.5541628539</v>
      </c>
      <c r="Y22" s="621">
        <f t="shared" ref="Y22" si="43">Y20+Y21</f>
        <v>-2871349.0605502683</v>
      </c>
      <c r="Z22" s="621">
        <f t="shared" ref="Z22" si="44">Z20+Z21</f>
        <v>-2963699.5669376832</v>
      </c>
      <c r="AA22" s="621">
        <f t="shared" ref="AA22" si="45">AA20+AA21</f>
        <v>-3056050.0733250971</v>
      </c>
      <c r="AB22" s="621">
        <f t="shared" ref="AB22" si="46">AB20+AB21</f>
        <v>-3148400.5797125129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B34"/>
  <sheetViews>
    <sheetView workbookViewId="0">
      <pane xSplit="3" ySplit="7" topLeftCell="E8" activePane="bottomRight" state="frozen"/>
      <selection pane="topRight" activeCell="D1" sqref="D1"/>
      <selection pane="bottomLeft" activeCell="A8" sqref="A8"/>
      <selection pane="bottomRight" activeCell="G14" sqref="G14"/>
    </sheetView>
  </sheetViews>
  <sheetFormatPr defaultRowHeight="14.4" x14ac:dyDescent="0.3"/>
  <cols>
    <col min="1" max="1" width="3.33203125" customWidth="1"/>
    <col min="2" max="2" width="19.33203125" bestFit="1" customWidth="1"/>
    <col min="4" max="4" width="9.109375" bestFit="1" customWidth="1"/>
    <col min="5" max="5" width="12.88671875" customWidth="1"/>
    <col min="6" max="6" width="12" bestFit="1" customWidth="1"/>
    <col min="7" max="7" width="18.21875" bestFit="1" customWidth="1"/>
    <col min="8" max="27" width="12" style="1" customWidth="1"/>
    <col min="28" max="28" width="12.21875" style="1" customWidth="1"/>
  </cols>
  <sheetData>
    <row r="1" spans="2:28" ht="9" customHeight="1" x14ac:dyDescent="0.3"/>
    <row r="2" spans="2:28" ht="18" x14ac:dyDescent="0.35">
      <c r="B2" s="186" t="s">
        <v>574</v>
      </c>
      <c r="C2" s="184"/>
      <c r="D2" s="184"/>
      <c r="E2" s="184"/>
      <c r="F2" s="184"/>
      <c r="G2" s="184"/>
      <c r="H2" s="185"/>
      <c r="I2" s="185"/>
      <c r="J2" s="185"/>
      <c r="K2" s="185"/>
      <c r="L2" s="185"/>
      <c r="M2" s="185"/>
      <c r="N2" s="185"/>
      <c r="O2" s="185"/>
      <c r="P2" s="185"/>
      <c r="Q2" s="185"/>
      <c r="R2" s="185"/>
      <c r="S2" s="185"/>
      <c r="T2" s="185"/>
      <c r="U2" s="185"/>
      <c r="V2" s="185"/>
      <c r="W2" s="185"/>
      <c r="X2" s="185"/>
      <c r="Y2" s="185"/>
      <c r="Z2" s="185"/>
      <c r="AA2" s="185"/>
      <c r="AB2" s="185"/>
    </row>
    <row r="3" spans="2:28" x14ac:dyDescent="0.3">
      <c r="B3" s="184"/>
      <c r="C3" s="184"/>
      <c r="D3" s="184"/>
      <c r="E3" s="184"/>
      <c r="F3" s="184"/>
      <c r="G3" s="184"/>
      <c r="H3" s="185"/>
      <c r="I3" s="185"/>
      <c r="J3" s="185"/>
      <c r="K3" s="185"/>
      <c r="L3" s="185"/>
      <c r="M3" s="185"/>
      <c r="N3" s="185"/>
      <c r="O3" s="185"/>
      <c r="P3" s="185"/>
      <c r="Q3" s="185"/>
      <c r="R3" s="185"/>
      <c r="S3" s="185"/>
      <c r="T3" s="185"/>
      <c r="U3" s="185"/>
      <c r="V3" s="185"/>
      <c r="W3" s="185"/>
      <c r="X3" s="185"/>
      <c r="Y3" s="185"/>
      <c r="Z3" s="185"/>
      <c r="AA3" s="185"/>
      <c r="AB3" s="185"/>
    </row>
    <row r="4" spans="2:28" x14ac:dyDescent="0.3">
      <c r="B4" s="184"/>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row>
    <row r="5" spans="2:28" x14ac:dyDescent="0.3">
      <c r="B5" s="184"/>
      <c r="C5" s="184"/>
      <c r="D5" s="184"/>
      <c r="E5" s="185"/>
      <c r="F5" s="185"/>
      <c r="G5" s="185" t="s">
        <v>229</v>
      </c>
      <c r="H5" s="185">
        <v>0</v>
      </c>
      <c r="I5" s="185">
        <v>1</v>
      </c>
      <c r="J5" s="185">
        <v>2</v>
      </c>
      <c r="K5" s="185">
        <v>3</v>
      </c>
      <c r="L5" s="185">
        <v>4</v>
      </c>
      <c r="M5" s="185">
        <v>5</v>
      </c>
      <c r="N5" s="185">
        <v>6</v>
      </c>
      <c r="O5" s="185">
        <v>7</v>
      </c>
      <c r="P5" s="185">
        <v>8</v>
      </c>
      <c r="Q5" s="185">
        <v>9</v>
      </c>
      <c r="R5" s="185">
        <v>10</v>
      </c>
      <c r="S5" s="185">
        <v>11</v>
      </c>
      <c r="T5" s="185">
        <v>12</v>
      </c>
      <c r="U5" s="185">
        <v>13</v>
      </c>
      <c r="V5" s="185">
        <v>14</v>
      </c>
      <c r="W5" s="185">
        <v>15</v>
      </c>
      <c r="X5" s="185">
        <v>16</v>
      </c>
      <c r="Y5" s="185">
        <v>17</v>
      </c>
      <c r="Z5" s="185">
        <v>18</v>
      </c>
      <c r="AA5" s="185">
        <v>19</v>
      </c>
      <c r="AB5" s="185">
        <v>20</v>
      </c>
    </row>
    <row r="6" spans="2:28" x14ac:dyDescent="0.3">
      <c r="B6" s="184"/>
      <c r="C6" s="184"/>
      <c r="D6" s="184"/>
      <c r="E6" s="614"/>
      <c r="F6" s="614"/>
      <c r="G6" s="614"/>
      <c r="H6" s="626">
        <v>2020</v>
      </c>
      <c r="I6" s="626">
        <v>2021</v>
      </c>
      <c r="J6" s="626">
        <v>2022</v>
      </c>
      <c r="K6" s="626">
        <v>2023</v>
      </c>
      <c r="L6" s="626">
        <v>2024</v>
      </c>
      <c r="M6" s="626">
        <v>2025</v>
      </c>
      <c r="N6" s="626">
        <v>2026</v>
      </c>
      <c r="O6" s="626">
        <v>2027</v>
      </c>
      <c r="P6" s="626">
        <v>2028</v>
      </c>
      <c r="Q6" s="626">
        <v>2029</v>
      </c>
      <c r="R6" s="626">
        <v>2030</v>
      </c>
      <c r="S6" s="626">
        <v>2031</v>
      </c>
      <c r="T6" s="626">
        <v>2032</v>
      </c>
      <c r="U6" s="626">
        <v>2033</v>
      </c>
      <c r="V6" s="626">
        <v>2034</v>
      </c>
      <c r="W6" s="626">
        <v>2035</v>
      </c>
      <c r="X6" s="626">
        <v>2036</v>
      </c>
      <c r="Y6" s="626">
        <v>2037</v>
      </c>
      <c r="Z6" s="626">
        <v>2038</v>
      </c>
      <c r="AA6" s="626">
        <v>2039</v>
      </c>
      <c r="AB6" s="626">
        <v>2040</v>
      </c>
    </row>
    <row r="7" spans="2:28" x14ac:dyDescent="0.3">
      <c r="B7" s="199" t="s">
        <v>559</v>
      </c>
      <c r="C7" s="199"/>
      <c r="D7" s="199"/>
      <c r="E7" s="199"/>
      <c r="F7" s="199"/>
      <c r="G7" s="199"/>
      <c r="H7" s="323"/>
      <c r="I7" s="323"/>
      <c r="J7" s="323"/>
      <c r="K7" s="323"/>
      <c r="L7" s="323"/>
      <c r="M7" s="323"/>
      <c r="N7" s="323"/>
      <c r="O7" s="323"/>
      <c r="P7" s="323"/>
      <c r="Q7" s="323"/>
      <c r="R7" s="323"/>
      <c r="S7" s="323"/>
      <c r="T7" s="323"/>
      <c r="U7" s="323"/>
      <c r="V7" s="323"/>
      <c r="W7" s="323"/>
      <c r="X7" s="323"/>
      <c r="Y7" s="323"/>
      <c r="Z7" s="323"/>
      <c r="AA7" s="323"/>
      <c r="AB7" s="323"/>
    </row>
    <row r="8" spans="2:28" x14ac:dyDescent="0.3">
      <c r="B8" s="623" t="s">
        <v>557</v>
      </c>
      <c r="C8" s="623" t="s">
        <v>95</v>
      </c>
      <c r="D8" s="623"/>
      <c r="E8" s="624"/>
      <c r="F8" s="624"/>
      <c r="G8" s="624"/>
      <c r="H8" s="182">
        <f>'Straight-Line Change'!H25</f>
        <v>-135500.34333333332</v>
      </c>
      <c r="I8" s="182">
        <f>'Straight-Line Change'!I25</f>
        <v>-144337.76499999998</v>
      </c>
      <c r="J8" s="182">
        <f>'Straight-Line Change'!J25</f>
        <v>-153175.18666666665</v>
      </c>
      <c r="K8" s="182">
        <f>'Straight-Line Change'!K25</f>
        <v>-162012.60833333331</v>
      </c>
      <c r="L8" s="182">
        <f>'Straight-Line Change'!L25</f>
        <v>-170850.02999999997</v>
      </c>
      <c r="M8" s="182">
        <f>'Straight-Line Change'!M25</f>
        <v>-179687.45166666663</v>
      </c>
      <c r="N8" s="182">
        <f>'Straight-Line Change'!N25</f>
        <v>-188524.87333333329</v>
      </c>
      <c r="O8" s="182">
        <f>'Straight-Line Change'!O25</f>
        <v>-197362.29499999995</v>
      </c>
      <c r="P8" s="182">
        <f>'Straight-Line Change'!P25</f>
        <v>-206199.71666666662</v>
      </c>
      <c r="Q8" s="182">
        <f>'Straight-Line Change'!Q25</f>
        <v>-215037.13833333328</v>
      </c>
      <c r="R8" s="182">
        <f>'Straight-Line Change'!R25</f>
        <v>-223874.55999999994</v>
      </c>
      <c r="S8" s="182">
        <f>'Straight-Line Change'!S25</f>
        <v>-232711.9816666666</v>
      </c>
      <c r="T8" s="182">
        <f>'Straight-Line Change'!T25</f>
        <v>-241549.40333333326</v>
      </c>
      <c r="U8" s="182">
        <f>'Straight-Line Change'!U25</f>
        <v>-250386.82499999992</v>
      </c>
      <c r="V8" s="182">
        <f>'Straight-Line Change'!V25</f>
        <v>-259224.24666666659</v>
      </c>
      <c r="W8" s="182">
        <f>'Straight-Line Change'!W25</f>
        <v>-268061.66833333322</v>
      </c>
      <c r="X8" s="182">
        <f>'Straight-Line Change'!X25</f>
        <v>-276899.08999999985</v>
      </c>
      <c r="Y8" s="182">
        <f>'Straight-Line Change'!Y25</f>
        <v>-285736.51166666648</v>
      </c>
      <c r="Z8" s="182">
        <f>'Straight-Line Change'!Z25</f>
        <v>-294573.93333333312</v>
      </c>
      <c r="AA8" s="182">
        <f>'Straight-Line Change'!AA25</f>
        <v>-303411.35499999975</v>
      </c>
      <c r="AB8" s="182">
        <f>'Straight-Line Change'!AB25</f>
        <v>-312248.7766666665</v>
      </c>
    </row>
    <row r="9" spans="2:28" x14ac:dyDescent="0.3">
      <c r="B9" s="623" t="s">
        <v>557</v>
      </c>
      <c r="C9" s="623" t="s">
        <v>4</v>
      </c>
      <c r="D9" s="623"/>
      <c r="E9" s="624"/>
      <c r="F9" s="624"/>
      <c r="G9" s="624"/>
      <c r="H9" s="182">
        <f>'Straight-Line Change'!H26</f>
        <v>-28780.39194444444</v>
      </c>
      <c r="I9" s="182">
        <f>'Straight-Line Change'!I26</f>
        <v>-31035.858749999992</v>
      </c>
      <c r="J9" s="182">
        <f>'Straight-Line Change'!J26</f>
        <v>-33291.325555555544</v>
      </c>
      <c r="K9" s="182">
        <f>'Straight-Line Change'!K26</f>
        <v>-35546.792361111096</v>
      </c>
      <c r="L9" s="182">
        <f>'Straight-Line Change'!L26</f>
        <v>-37802.259166666649</v>
      </c>
      <c r="M9" s="182">
        <f>'Straight-Line Change'!M26</f>
        <v>-40057.725972222201</v>
      </c>
      <c r="N9" s="182">
        <f>'Straight-Line Change'!N26</f>
        <v>-42313.192777777753</v>
      </c>
      <c r="O9" s="182">
        <f>'Straight-Line Change'!O26</f>
        <v>-44568.659583333305</v>
      </c>
      <c r="P9" s="182">
        <f>'Straight-Line Change'!P26</f>
        <v>-46824.126388888857</v>
      </c>
      <c r="Q9" s="182">
        <f>'Straight-Line Change'!Q26</f>
        <v>-49079.593194444409</v>
      </c>
      <c r="R9" s="182">
        <f>'Straight-Line Change'!R26</f>
        <v>-51335.059999999961</v>
      </c>
      <c r="S9" s="182">
        <f>'Straight-Line Change'!S26</f>
        <v>-53590.526805555513</v>
      </c>
      <c r="T9" s="182">
        <f>'Straight-Line Change'!T26</f>
        <v>-55845.993611111066</v>
      </c>
      <c r="U9" s="182">
        <f>'Straight-Line Change'!U26</f>
        <v>-58101.460416666618</v>
      </c>
      <c r="V9" s="182">
        <f>'Straight-Line Change'!V26</f>
        <v>-60356.92722222217</v>
      </c>
      <c r="W9" s="182">
        <f>'Straight-Line Change'!W26</f>
        <v>-62612.394027777722</v>
      </c>
      <c r="X9" s="182">
        <f>'Straight-Line Change'!X26</f>
        <v>-64867.860833333274</v>
      </c>
      <c r="Y9" s="182">
        <f>'Straight-Line Change'!Y26</f>
        <v>-67123.327638888833</v>
      </c>
      <c r="Z9" s="182">
        <f>'Straight-Line Change'!Z26</f>
        <v>-69378.794444444386</v>
      </c>
      <c r="AA9" s="182">
        <f>'Straight-Line Change'!AA26</f>
        <v>-71634.261249999938</v>
      </c>
      <c r="AB9" s="182">
        <f>'Straight-Line Change'!AB26</f>
        <v>-73889.728055555519</v>
      </c>
    </row>
    <row r="10" spans="2:28" x14ac:dyDescent="0.3">
      <c r="B10" s="623" t="s">
        <v>557</v>
      </c>
      <c r="C10" s="623" t="s">
        <v>93</v>
      </c>
      <c r="D10" s="623"/>
      <c r="E10" s="624"/>
      <c r="F10" s="624"/>
      <c r="G10" s="624"/>
      <c r="H10" s="182">
        <f>'Straight-Line Change'!H27</f>
        <v>-164280.73527777777</v>
      </c>
      <c r="I10" s="182">
        <f>'Straight-Line Change'!I27</f>
        <v>-175373.62374999997</v>
      </c>
      <c r="J10" s="182">
        <f>'Straight-Line Change'!J27</f>
        <v>-186466.51222222217</v>
      </c>
      <c r="K10" s="182">
        <f>'Straight-Line Change'!K27</f>
        <v>-197559.40069444437</v>
      </c>
      <c r="L10" s="182">
        <f>'Straight-Line Change'!L27</f>
        <v>-208652.28916666657</v>
      </c>
      <c r="M10" s="182">
        <f>'Straight-Line Change'!M27</f>
        <v>-219745.17763888877</v>
      </c>
      <c r="N10" s="182">
        <f>'Straight-Line Change'!N27</f>
        <v>-230838.06611111097</v>
      </c>
      <c r="O10" s="182">
        <f>'Straight-Line Change'!O27</f>
        <v>-241930.95458333316</v>
      </c>
      <c r="P10" s="182">
        <f>'Straight-Line Change'!P27</f>
        <v>-253023.84305555536</v>
      </c>
      <c r="Q10" s="182">
        <f>'Straight-Line Change'!Q27</f>
        <v>-264116.73152777756</v>
      </c>
      <c r="R10" s="182">
        <f>'Straight-Line Change'!R27</f>
        <v>-275209.61999999976</v>
      </c>
      <c r="S10" s="182">
        <f>'Straight-Line Change'!S27</f>
        <v>-286302.50847222196</v>
      </c>
      <c r="T10" s="182">
        <f>'Straight-Line Change'!T27</f>
        <v>-297395.39694444416</v>
      </c>
      <c r="U10" s="182">
        <f>'Straight-Line Change'!U27</f>
        <v>-308488.28541666636</v>
      </c>
      <c r="V10" s="182">
        <f>'Straight-Line Change'!V27</f>
        <v>-319581.17388888856</v>
      </c>
      <c r="W10" s="182">
        <f>'Straight-Line Change'!W27</f>
        <v>-330674.06236111076</v>
      </c>
      <c r="X10" s="182">
        <f>'Straight-Line Change'!X27</f>
        <v>-341766.95083333296</v>
      </c>
      <c r="Y10" s="182">
        <f>'Straight-Line Change'!Y27</f>
        <v>-352859.83930555516</v>
      </c>
      <c r="Z10" s="182">
        <f>'Straight-Line Change'!Z27</f>
        <v>-363952.72777777736</v>
      </c>
      <c r="AA10" s="182">
        <f>'Straight-Line Change'!AA27</f>
        <v>-375045.61624999956</v>
      </c>
      <c r="AB10" s="182">
        <f>'Straight-Line Change'!AB27</f>
        <v>-386138.50472222199</v>
      </c>
    </row>
    <row r="11" spans="2:28" x14ac:dyDescent="0.3">
      <c r="B11" s="199" t="s">
        <v>575</v>
      </c>
      <c r="C11" s="340"/>
      <c r="D11" s="340"/>
      <c r="E11" s="340"/>
      <c r="F11" s="340"/>
      <c r="G11" s="773" t="s">
        <v>576</v>
      </c>
      <c r="H11" s="645">
        <f>'Unit Costs'!H69</f>
        <v>47</v>
      </c>
      <c r="I11" s="645">
        <f>'Unit Costs'!I69</f>
        <v>47</v>
      </c>
      <c r="J11" s="645">
        <f>'Unit Costs'!J69</f>
        <v>48</v>
      </c>
      <c r="K11" s="645">
        <f>'Unit Costs'!K69</f>
        <v>50</v>
      </c>
      <c r="L11" s="645">
        <f>'Unit Costs'!L69</f>
        <v>51</v>
      </c>
      <c r="M11" s="645">
        <f>'Unit Costs'!M69</f>
        <v>52</v>
      </c>
      <c r="N11" s="645">
        <f>'Unit Costs'!N69</f>
        <v>53</v>
      </c>
      <c r="O11" s="645">
        <f>'Unit Costs'!O69</f>
        <v>54</v>
      </c>
      <c r="P11" s="645">
        <f>'Unit Costs'!P69</f>
        <v>55</v>
      </c>
      <c r="Q11" s="645">
        <f>'Unit Costs'!Q69</f>
        <v>55</v>
      </c>
      <c r="R11" s="645">
        <f>'Unit Costs'!R69</f>
        <v>56</v>
      </c>
      <c r="S11" s="645">
        <f>'Unit Costs'!S69</f>
        <v>58</v>
      </c>
      <c r="T11" s="645">
        <f>'Unit Costs'!T69</f>
        <v>59</v>
      </c>
      <c r="U11" s="645">
        <f>'Unit Costs'!U69</f>
        <v>60</v>
      </c>
      <c r="V11" s="645">
        <f>'Unit Costs'!V69</f>
        <v>61</v>
      </c>
      <c r="W11" s="645">
        <f>'Unit Costs'!W69</f>
        <v>62</v>
      </c>
      <c r="X11" s="645">
        <f>'Unit Costs'!X69</f>
        <v>63</v>
      </c>
      <c r="Y11" s="645">
        <f>'Unit Costs'!Y69</f>
        <v>64</v>
      </c>
      <c r="Z11" s="645">
        <f>'Unit Costs'!Z69</f>
        <v>65</v>
      </c>
      <c r="AA11" s="645">
        <f>'Unit Costs'!AA69</f>
        <v>67</v>
      </c>
      <c r="AB11" s="645">
        <f>'Unit Costs'!AB69</f>
        <v>68</v>
      </c>
    </row>
    <row r="12" spans="2:28" x14ac:dyDescent="0.3">
      <c r="B12" s="194"/>
      <c r="C12" s="646" t="s">
        <v>95</v>
      </c>
      <c r="D12" s="181">
        <f>'Unit Costs'!C56</f>
        <v>21297.884999999998</v>
      </c>
      <c r="E12" s="646" t="s">
        <v>599</v>
      </c>
      <c r="F12" s="647">
        <f>D12/1000000</f>
        <v>2.1297884999999999E-2</v>
      </c>
      <c r="G12" s="646" t="s">
        <v>600</v>
      </c>
      <c r="H12" s="621">
        <f>H8*$F12*H$11</f>
        <v>-135635.92429937093</v>
      </c>
      <c r="I12" s="621">
        <f t="shared" ref="I12:AA12" si="0">I8*$F12*I$11</f>
        <v>-144482.18864597016</v>
      </c>
      <c r="J12" s="621">
        <f t="shared" si="0"/>
        <v>-156590.76050304956</v>
      </c>
      <c r="K12" s="621">
        <f t="shared" si="0"/>
        <v>-172526.29504166869</v>
      </c>
      <c r="L12" s="621">
        <f>L8*$F12*L$11</f>
        <v>-185575.958850514</v>
      </c>
      <c r="M12" s="621">
        <f t="shared" si="0"/>
        <v>-199002.05944006564</v>
      </c>
      <c r="N12" s="621">
        <f t="shared" si="0"/>
        <v>-212804.59681032365</v>
      </c>
      <c r="O12" s="621">
        <f t="shared" si="0"/>
        <v>-226983.570961288</v>
      </c>
      <c r="P12" s="621">
        <f t="shared" si="0"/>
        <v>-241538.98189295869</v>
      </c>
      <c r="Q12" s="621">
        <f t="shared" si="0"/>
        <v>-251890.99336238328</v>
      </c>
      <c r="R12" s="621">
        <f t="shared" si="0"/>
        <v>-267011.0594651135</v>
      </c>
      <c r="S12" s="621">
        <f t="shared" si="0"/>
        <v>-287463.83537220885</v>
      </c>
      <c r="T12" s="621">
        <f t="shared" si="0"/>
        <v>-303524.99342670495</v>
      </c>
      <c r="U12" s="621">
        <f t="shared" si="0"/>
        <v>-319962.5882619074</v>
      </c>
      <c r="V12" s="621">
        <f t="shared" si="0"/>
        <v>-336776.61987781618</v>
      </c>
      <c r="W12" s="621">
        <f t="shared" si="0"/>
        <v>-353967.0882744313</v>
      </c>
      <c r="X12" s="621">
        <f t="shared" si="0"/>
        <v>-371533.9934517527</v>
      </c>
      <c r="Y12" s="621">
        <f t="shared" si="0"/>
        <v>-389477.33540978056</v>
      </c>
      <c r="Z12" s="621">
        <f t="shared" si="0"/>
        <v>-407797.11414851469</v>
      </c>
      <c r="AA12" s="621">
        <f t="shared" si="0"/>
        <v>-432955.34981443937</v>
      </c>
      <c r="AB12" s="621">
        <f>AB8*$F12*AB$11</f>
        <v>-452216.22050493956</v>
      </c>
    </row>
    <row r="13" spans="2:28" x14ac:dyDescent="0.3">
      <c r="B13" s="194"/>
      <c r="C13" s="646" t="s">
        <v>4</v>
      </c>
      <c r="D13" s="181">
        <f>'Unit Costs'!C61</f>
        <v>78046.666666666657</v>
      </c>
      <c r="E13" s="646" t="s">
        <v>599</v>
      </c>
      <c r="F13" s="647">
        <f>D13/1000000</f>
        <v>7.8046666666666653E-2</v>
      </c>
      <c r="G13" s="646" t="s">
        <v>600</v>
      </c>
      <c r="H13" s="621">
        <f>H9*$F13*H$11</f>
        <v>-105572.04186133144</v>
      </c>
      <c r="I13" s="621">
        <f t="shared" ref="I13:AB13" si="1">I9*$F13*I$11</f>
        <v>-113845.53016102496</v>
      </c>
      <c r="J13" s="621">
        <f t="shared" si="1"/>
        <v>-124717.29544924438</v>
      </c>
      <c r="K13" s="621">
        <f t="shared" si="1"/>
        <v>-138715.4327238425</v>
      </c>
      <c r="L13" s="621">
        <f t="shared" si="1"/>
        <v>-150467.35634181654</v>
      </c>
      <c r="M13" s="621">
        <f t="shared" si="1"/>
        <v>-162571.34329169246</v>
      </c>
      <c r="N13" s="621">
        <f t="shared" si="1"/>
        <v>-175027.39357347024</v>
      </c>
      <c r="O13" s="621">
        <f t="shared" si="1"/>
        <v>-187835.50718714984</v>
      </c>
      <c r="P13" s="621">
        <f t="shared" si="1"/>
        <v>-200995.68413273132</v>
      </c>
      <c r="Q13" s="621">
        <f t="shared" si="1"/>
        <v>-210677.42576003223</v>
      </c>
      <c r="R13" s="621">
        <f t="shared" si="1"/>
        <v>-224365.69770346646</v>
      </c>
      <c r="S13" s="621">
        <f t="shared" si="1"/>
        <v>-242588.59496088678</v>
      </c>
      <c r="T13" s="621">
        <f t="shared" si="1"/>
        <v>-257157.02523407567</v>
      </c>
      <c r="U13" s="621">
        <f t="shared" si="1"/>
        <v>-272077.51883916638</v>
      </c>
      <c r="V13" s="621">
        <f t="shared" si="1"/>
        <v>-287350.07577615895</v>
      </c>
      <c r="W13" s="621">
        <f t="shared" si="1"/>
        <v>-302974.69604505342</v>
      </c>
      <c r="X13" s="621">
        <f t="shared" si="1"/>
        <v>-318951.37964584964</v>
      </c>
      <c r="Y13" s="621">
        <f t="shared" si="1"/>
        <v>-335280.12657854782</v>
      </c>
      <c r="Z13" s="621">
        <f t="shared" si="1"/>
        <v>-351960.93684314779</v>
      </c>
      <c r="AA13" s="621">
        <f t="shared" si="1"/>
        <v>-374584.62574934133</v>
      </c>
      <c r="AB13" s="621">
        <f t="shared" si="1"/>
        <v>-392145.59434369602</v>
      </c>
    </row>
    <row r="14" spans="2:28" x14ac:dyDescent="0.3">
      <c r="B14" s="194"/>
      <c r="C14" s="178" t="s">
        <v>93</v>
      </c>
      <c r="D14" s="178"/>
      <c r="E14" s="194"/>
      <c r="F14" s="194"/>
      <c r="G14" s="194"/>
      <c r="H14" s="621">
        <f>H12+H13</f>
        <v>-241207.96616070237</v>
      </c>
      <c r="I14" s="621">
        <f t="shared" ref="I14:AB14" si="2">I12+I13</f>
        <v>-258327.71880699514</v>
      </c>
      <c r="J14" s="621">
        <f t="shared" si="2"/>
        <v>-281308.05595229391</v>
      </c>
      <c r="K14" s="621">
        <f t="shared" si="2"/>
        <v>-311241.7277655112</v>
      </c>
      <c r="L14" s="621">
        <f t="shared" si="2"/>
        <v>-336043.31519233051</v>
      </c>
      <c r="M14" s="621">
        <f t="shared" si="2"/>
        <v>-361573.40273175808</v>
      </c>
      <c r="N14" s="621">
        <f t="shared" si="2"/>
        <v>-387831.99038379389</v>
      </c>
      <c r="O14" s="621">
        <f t="shared" si="2"/>
        <v>-414819.07814843784</v>
      </c>
      <c r="P14" s="621">
        <f t="shared" si="2"/>
        <v>-442534.66602569004</v>
      </c>
      <c r="Q14" s="621">
        <f t="shared" si="2"/>
        <v>-462568.41912241548</v>
      </c>
      <c r="R14" s="621">
        <f t="shared" si="2"/>
        <v>-491376.75716857996</v>
      </c>
      <c r="S14" s="621">
        <f t="shared" si="2"/>
        <v>-530052.4303330956</v>
      </c>
      <c r="T14" s="621">
        <f t="shared" si="2"/>
        <v>-560682.01866078062</v>
      </c>
      <c r="U14" s="621">
        <f t="shared" si="2"/>
        <v>-592040.10710107372</v>
      </c>
      <c r="V14" s="621">
        <f t="shared" si="2"/>
        <v>-624126.69565397513</v>
      </c>
      <c r="W14" s="621">
        <f t="shared" si="2"/>
        <v>-656941.78431948472</v>
      </c>
      <c r="X14" s="621">
        <f t="shared" si="2"/>
        <v>-690485.37309760228</v>
      </c>
      <c r="Y14" s="621">
        <f t="shared" si="2"/>
        <v>-724757.46198832837</v>
      </c>
      <c r="Z14" s="621">
        <f t="shared" si="2"/>
        <v>-759758.05099166255</v>
      </c>
      <c r="AA14" s="621">
        <f t="shared" si="2"/>
        <v>-807539.97556378064</v>
      </c>
      <c r="AB14" s="621">
        <f t="shared" si="2"/>
        <v>-844361.81484863558</v>
      </c>
    </row>
    <row r="15" spans="2:28" x14ac:dyDescent="0.3">
      <c r="B15" s="199" t="s">
        <v>577</v>
      </c>
      <c r="C15" s="199"/>
      <c r="D15" s="199"/>
      <c r="E15" s="644" t="s">
        <v>576</v>
      </c>
      <c r="F15" s="199"/>
      <c r="G15" s="650">
        <f>'Unit Costs'!C52</f>
        <v>2032</v>
      </c>
      <c r="H15" s="323"/>
      <c r="I15" s="323"/>
      <c r="J15" s="323"/>
      <c r="K15" s="323"/>
      <c r="L15" s="323"/>
      <c r="M15" s="323"/>
      <c r="N15" s="323"/>
      <c r="O15" s="323"/>
      <c r="P15" s="323"/>
      <c r="Q15" s="323"/>
      <c r="R15" s="323"/>
      <c r="S15" s="323"/>
      <c r="T15" s="323"/>
      <c r="U15" s="323"/>
      <c r="V15" s="323"/>
      <c r="W15" s="323"/>
      <c r="X15" s="323"/>
      <c r="Y15" s="323"/>
      <c r="Z15" s="323"/>
      <c r="AA15" s="323"/>
      <c r="AB15" s="323"/>
    </row>
    <row r="16" spans="2:28" x14ac:dyDescent="0.3">
      <c r="B16" s="194"/>
      <c r="C16" s="646" t="s">
        <v>95</v>
      </c>
      <c r="D16" s="648">
        <f>'Unit Costs'!C57</f>
        <v>54.530699999999996</v>
      </c>
      <c r="E16" s="646" t="s">
        <v>599</v>
      </c>
      <c r="F16" s="649">
        <f>D16/1000000</f>
        <v>5.4530699999999996E-5</v>
      </c>
      <c r="G16" s="646" t="s">
        <v>600</v>
      </c>
      <c r="H16" s="621">
        <f>H8*$F16*$G$15</f>
        <v>-15014.302858724623</v>
      </c>
      <c r="I16" s="621">
        <f t="shared" ref="I16:AB16" si="3">I8*$F16*$G$15</f>
        <v>-15993.545583351333</v>
      </c>
      <c r="J16" s="621">
        <f t="shared" si="3"/>
        <v>-16972.788307978048</v>
      </c>
      <c r="K16" s="621">
        <f t="shared" si="3"/>
        <v>-17952.031032604758</v>
      </c>
      <c r="L16" s="621">
        <f t="shared" si="3"/>
        <v>-18931.273757231469</v>
      </c>
      <c r="M16" s="621">
        <f t="shared" si="3"/>
        <v>-19910.51648185818</v>
      </c>
      <c r="N16" s="621">
        <f t="shared" si="3"/>
        <v>-20889.75920648489</v>
      </c>
      <c r="O16" s="621">
        <f t="shared" si="3"/>
        <v>-21869.001931111601</v>
      </c>
      <c r="P16" s="621">
        <f t="shared" si="3"/>
        <v>-22848.244655738312</v>
      </c>
      <c r="Q16" s="621">
        <f t="shared" si="3"/>
        <v>-23827.487380365023</v>
      </c>
      <c r="R16" s="621">
        <f t="shared" si="3"/>
        <v>-24806.730104991733</v>
      </c>
      <c r="S16" s="621">
        <f t="shared" si="3"/>
        <v>-25785.972829618444</v>
      </c>
      <c r="T16" s="621">
        <f t="shared" si="3"/>
        <v>-26765.215554245158</v>
      </c>
      <c r="U16" s="621">
        <f t="shared" si="3"/>
        <v>-27744.458278871873</v>
      </c>
      <c r="V16" s="621">
        <f t="shared" si="3"/>
        <v>-28723.701003498583</v>
      </c>
      <c r="W16" s="621">
        <f t="shared" si="3"/>
        <v>-29702.94372812529</v>
      </c>
      <c r="X16" s="621">
        <f t="shared" si="3"/>
        <v>-30682.186452751997</v>
      </c>
      <c r="Y16" s="621">
        <f t="shared" si="3"/>
        <v>-31661.429177378704</v>
      </c>
      <c r="Z16" s="621">
        <f t="shared" si="3"/>
        <v>-32640.671902005415</v>
      </c>
      <c r="AA16" s="621">
        <f t="shared" si="3"/>
        <v>-33619.914626632126</v>
      </c>
      <c r="AB16" s="621">
        <f t="shared" si="3"/>
        <v>-34599.157351258844</v>
      </c>
    </row>
    <row r="17" spans="2:28" x14ac:dyDescent="0.3">
      <c r="B17" s="194"/>
      <c r="C17" s="646" t="s">
        <v>4</v>
      </c>
      <c r="D17" s="648">
        <f>'Unit Costs'!C62</f>
        <v>21.5901</v>
      </c>
      <c r="E17" s="646" t="s">
        <v>599</v>
      </c>
      <c r="F17" s="649">
        <f>D17/1000000</f>
        <v>2.1590099999999998E-5</v>
      </c>
      <c r="G17" s="646" t="s">
        <v>600</v>
      </c>
      <c r="H17" s="621">
        <f>H9*$F17*$G$15</f>
        <v>-1262.6269695233316</v>
      </c>
      <c r="I17" s="621">
        <f t="shared" ref="I17:AB17" si="4">I9*$F17*$G$15</f>
        <v>-1361.5767414046977</v>
      </c>
      <c r="J17" s="621">
        <f t="shared" si="4"/>
        <v>-1460.5265132860634</v>
      </c>
      <c r="K17" s="621">
        <f t="shared" si="4"/>
        <v>-1559.4762851674293</v>
      </c>
      <c r="L17" s="621">
        <f t="shared" si="4"/>
        <v>-1658.426057048795</v>
      </c>
      <c r="M17" s="621">
        <f t="shared" si="4"/>
        <v>-1757.3758289301609</v>
      </c>
      <c r="N17" s="621">
        <f t="shared" si="4"/>
        <v>-1856.3256008115268</v>
      </c>
      <c r="O17" s="621">
        <f t="shared" si="4"/>
        <v>-1955.2753726928927</v>
      </c>
      <c r="P17" s="621">
        <f t="shared" si="4"/>
        <v>-2054.2251445742581</v>
      </c>
      <c r="Q17" s="621">
        <f t="shared" si="4"/>
        <v>-2153.1749164556245</v>
      </c>
      <c r="R17" s="621">
        <f t="shared" si="4"/>
        <v>-2252.1246883369904</v>
      </c>
      <c r="S17" s="621">
        <f t="shared" si="4"/>
        <v>-2351.0744602183559</v>
      </c>
      <c r="T17" s="621">
        <f t="shared" si="4"/>
        <v>-2450.0242320997218</v>
      </c>
      <c r="U17" s="621">
        <f t="shared" si="4"/>
        <v>-2548.9740039810877</v>
      </c>
      <c r="V17" s="621">
        <f t="shared" si="4"/>
        <v>-2647.9237758624536</v>
      </c>
      <c r="W17" s="621">
        <f t="shared" si="4"/>
        <v>-2746.873547743819</v>
      </c>
      <c r="X17" s="621">
        <f t="shared" si="4"/>
        <v>-2845.8233196251854</v>
      </c>
      <c r="Y17" s="621">
        <f t="shared" si="4"/>
        <v>-2944.7730915065513</v>
      </c>
      <c r="Z17" s="621">
        <f t="shared" si="4"/>
        <v>-3043.7228633879172</v>
      </c>
      <c r="AA17" s="621">
        <f t="shared" si="4"/>
        <v>-3142.6726352692831</v>
      </c>
      <c r="AB17" s="621">
        <f t="shared" si="4"/>
        <v>-3241.6224071506504</v>
      </c>
    </row>
    <row r="18" spans="2:28" x14ac:dyDescent="0.3">
      <c r="B18" s="194"/>
      <c r="C18" s="178" t="s">
        <v>93</v>
      </c>
      <c r="D18" s="178"/>
      <c r="E18" s="178"/>
      <c r="F18" s="178"/>
      <c r="G18" s="178"/>
      <c r="H18" s="621">
        <f>H16+H17</f>
        <v>-16276.929828247954</v>
      </c>
      <c r="I18" s="621">
        <f t="shared" ref="I18:AB18" si="5">I16+I17</f>
        <v>-17355.12232475603</v>
      </c>
      <c r="J18" s="621">
        <f t="shared" si="5"/>
        <v>-18433.31482126411</v>
      </c>
      <c r="K18" s="621">
        <f t="shared" si="5"/>
        <v>-19511.507317772186</v>
      </c>
      <c r="L18" s="621">
        <f t="shared" si="5"/>
        <v>-20589.699814280262</v>
      </c>
      <c r="M18" s="621">
        <f t="shared" si="5"/>
        <v>-21667.892310788342</v>
      </c>
      <c r="N18" s="621">
        <f t="shared" si="5"/>
        <v>-22746.084807296418</v>
      </c>
      <c r="O18" s="621">
        <f t="shared" si="5"/>
        <v>-23824.277303804494</v>
      </c>
      <c r="P18" s="621">
        <f t="shared" si="5"/>
        <v>-24902.46980031257</v>
      </c>
      <c r="Q18" s="621">
        <f t="shared" si="5"/>
        <v>-25980.662296820647</v>
      </c>
      <c r="R18" s="621">
        <f t="shared" si="5"/>
        <v>-27058.854793328723</v>
      </c>
      <c r="S18" s="621">
        <f t="shared" si="5"/>
        <v>-28137.047289836799</v>
      </c>
      <c r="T18" s="621">
        <f t="shared" si="5"/>
        <v>-29215.239786344879</v>
      </c>
      <c r="U18" s="621">
        <f t="shared" si="5"/>
        <v>-30293.432282852962</v>
      </c>
      <c r="V18" s="621">
        <f t="shared" si="5"/>
        <v>-31371.624779361038</v>
      </c>
      <c r="W18" s="621">
        <f t="shared" si="5"/>
        <v>-32449.817275869111</v>
      </c>
      <c r="X18" s="621">
        <f t="shared" si="5"/>
        <v>-33528.009772377183</v>
      </c>
      <c r="Y18" s="621">
        <f t="shared" si="5"/>
        <v>-34606.202268885259</v>
      </c>
      <c r="Z18" s="621">
        <f t="shared" si="5"/>
        <v>-35684.394765393336</v>
      </c>
      <c r="AA18" s="621">
        <f t="shared" si="5"/>
        <v>-36762.587261901412</v>
      </c>
      <c r="AB18" s="621">
        <f t="shared" si="5"/>
        <v>-37840.779758409495</v>
      </c>
    </row>
    <row r="19" spans="2:28" x14ac:dyDescent="0.3">
      <c r="B19" s="199" t="s">
        <v>578</v>
      </c>
      <c r="C19" s="199"/>
      <c r="D19" s="199"/>
      <c r="E19" s="644" t="s">
        <v>576</v>
      </c>
      <c r="F19" s="199"/>
      <c r="G19" s="650">
        <f>'Unit Costs'!C53</f>
        <v>8010</v>
      </c>
      <c r="H19" s="323"/>
      <c r="I19" s="323"/>
      <c r="J19" s="323"/>
      <c r="K19" s="323"/>
      <c r="L19" s="323"/>
      <c r="M19" s="323"/>
      <c r="N19" s="323"/>
      <c r="O19" s="323"/>
      <c r="P19" s="323"/>
      <c r="Q19" s="323"/>
      <c r="R19" s="323"/>
      <c r="S19" s="323"/>
      <c r="T19" s="323"/>
      <c r="U19" s="323"/>
      <c r="V19" s="323"/>
      <c r="W19" s="323"/>
      <c r="X19" s="323"/>
      <c r="Y19" s="323"/>
      <c r="Z19" s="323"/>
      <c r="AA19" s="323"/>
      <c r="AB19" s="323"/>
    </row>
    <row r="20" spans="2:28" x14ac:dyDescent="0.3">
      <c r="B20" s="194"/>
      <c r="C20" s="646" t="s">
        <v>95</v>
      </c>
      <c r="D20" s="648">
        <f>'Unit Costs'!C58</f>
        <v>39.678449999999991</v>
      </c>
      <c r="E20" s="646" t="s">
        <v>599</v>
      </c>
      <c r="F20" s="649">
        <f>D20/1000000</f>
        <v>3.9678449999999993E-5</v>
      </c>
      <c r="G20" s="646" t="s">
        <v>600</v>
      </c>
      <c r="H20" s="621">
        <f>H8*$F20*$G$19</f>
        <v>-43065.313219455333</v>
      </c>
      <c r="I20" s="621">
        <f t="shared" ref="I20:AA20" si="6">I8*$F20*$G$19</f>
        <v>-45874.061321230634</v>
      </c>
      <c r="J20" s="621">
        <f t="shared" si="6"/>
        <v>-48682.809423005921</v>
      </c>
      <c r="K20" s="621">
        <f t="shared" si="6"/>
        <v>-51491.557524781223</v>
      </c>
      <c r="L20" s="621">
        <f t="shared" si="6"/>
        <v>-54300.305626556517</v>
      </c>
      <c r="M20" s="621">
        <f t="shared" si="6"/>
        <v>-57109.053728331812</v>
      </c>
      <c r="N20" s="621">
        <f t="shared" si="6"/>
        <v>-59917.801830107106</v>
      </c>
      <c r="O20" s="621">
        <f t="shared" si="6"/>
        <v>-62726.5499318824</v>
      </c>
      <c r="P20" s="621">
        <f t="shared" si="6"/>
        <v>-65535.298033657695</v>
      </c>
      <c r="Q20" s="621">
        <f t="shared" si="6"/>
        <v>-68344.046135432989</v>
      </c>
      <c r="R20" s="621">
        <f t="shared" si="6"/>
        <v>-71152.794237208291</v>
      </c>
      <c r="S20" s="621">
        <f t="shared" si="6"/>
        <v>-73961.542338983578</v>
      </c>
      <c r="T20" s="621">
        <f t="shared" si="6"/>
        <v>-76770.290440758879</v>
      </c>
      <c r="U20" s="621">
        <f t="shared" si="6"/>
        <v>-79579.038542534181</v>
      </c>
      <c r="V20" s="621">
        <f t="shared" si="6"/>
        <v>-82387.786644309468</v>
      </c>
      <c r="W20" s="621">
        <f t="shared" si="6"/>
        <v>-85196.534746084755</v>
      </c>
      <c r="X20" s="621">
        <f t="shared" si="6"/>
        <v>-88005.282847860042</v>
      </c>
      <c r="Y20" s="621">
        <f t="shared" si="6"/>
        <v>-90814.030949635329</v>
      </c>
      <c r="Z20" s="621">
        <f t="shared" si="6"/>
        <v>-93622.779051410616</v>
      </c>
      <c r="AA20" s="621">
        <f t="shared" si="6"/>
        <v>-96431.527153185903</v>
      </c>
      <c r="AB20" s="621">
        <f>AB8*$F20*$G$19</f>
        <v>-99240.27525496122</v>
      </c>
    </row>
    <row r="21" spans="2:28" x14ac:dyDescent="0.3">
      <c r="B21" s="194"/>
      <c r="C21" s="646" t="s">
        <v>4</v>
      </c>
      <c r="D21" s="648">
        <f>'Unit Costs'!C63</f>
        <v>416.00789999999995</v>
      </c>
      <c r="E21" s="646" t="s">
        <v>599</v>
      </c>
      <c r="F21" s="649">
        <f>D21/1000000</f>
        <v>4.1600789999999996E-4</v>
      </c>
      <c r="G21" s="646" t="s">
        <v>600</v>
      </c>
      <c r="H21" s="621">
        <f>H9*$F21*$G$19</f>
        <v>-95902.692016021829</v>
      </c>
      <c r="I21" s="621">
        <f t="shared" ref="I21:AB21" si="7">I9*$F21*$G$19</f>
        <v>-103418.41101050581</v>
      </c>
      <c r="J21" s="621">
        <f t="shared" si="7"/>
        <v>-110934.13000498977</v>
      </c>
      <c r="K21" s="621">
        <f t="shared" si="7"/>
        <v>-118449.84899947376</v>
      </c>
      <c r="L21" s="621">
        <f t="shared" si="7"/>
        <v>-125965.56799395774</v>
      </c>
      <c r="M21" s="621">
        <f t="shared" si="7"/>
        <v>-133481.28698844172</v>
      </c>
      <c r="N21" s="621">
        <f t="shared" si="7"/>
        <v>-140997.00598292568</v>
      </c>
      <c r="O21" s="621">
        <f t="shared" si="7"/>
        <v>-148512.72497740967</v>
      </c>
      <c r="P21" s="621">
        <f t="shared" si="7"/>
        <v>-156028.44397189363</v>
      </c>
      <c r="Q21" s="621">
        <f t="shared" si="7"/>
        <v>-163544.16296637763</v>
      </c>
      <c r="R21" s="621">
        <f t="shared" si="7"/>
        <v>-171059.88196086159</v>
      </c>
      <c r="S21" s="621">
        <f t="shared" si="7"/>
        <v>-178575.60095534558</v>
      </c>
      <c r="T21" s="621">
        <f t="shared" si="7"/>
        <v>-186091.31994982954</v>
      </c>
      <c r="U21" s="621">
        <f t="shared" si="7"/>
        <v>-193607.03894431351</v>
      </c>
      <c r="V21" s="621">
        <f t="shared" si="7"/>
        <v>-201122.7579387975</v>
      </c>
      <c r="W21" s="621">
        <f t="shared" si="7"/>
        <v>-208638.47693328146</v>
      </c>
      <c r="X21" s="621">
        <f t="shared" si="7"/>
        <v>-216154.19592776545</v>
      </c>
      <c r="Y21" s="621">
        <f t="shared" si="7"/>
        <v>-223669.91492224945</v>
      </c>
      <c r="Z21" s="621">
        <f t="shared" si="7"/>
        <v>-231185.63391673344</v>
      </c>
      <c r="AA21" s="621">
        <f t="shared" si="7"/>
        <v>-238701.3529112174</v>
      </c>
      <c r="AB21" s="621">
        <f t="shared" si="7"/>
        <v>-246217.07190570148</v>
      </c>
    </row>
    <row r="22" spans="2:28" x14ac:dyDescent="0.3">
      <c r="B22" s="194"/>
      <c r="C22" s="178" t="s">
        <v>93</v>
      </c>
      <c r="D22" s="178"/>
      <c r="E22" s="178"/>
      <c r="F22" s="178"/>
      <c r="G22" s="178"/>
      <c r="H22" s="621">
        <f>H20+H21</f>
        <v>-138968.00523547718</v>
      </c>
      <c r="I22" s="621">
        <f t="shared" ref="I22:AB22" si="8">I20+I21</f>
        <v>-149292.47233173644</v>
      </c>
      <c r="J22" s="621">
        <f t="shared" si="8"/>
        <v>-159616.93942799571</v>
      </c>
      <c r="K22" s="621">
        <f t="shared" si="8"/>
        <v>-169941.406524255</v>
      </c>
      <c r="L22" s="621">
        <f t="shared" si="8"/>
        <v>-180265.87362051426</v>
      </c>
      <c r="M22" s="621">
        <f t="shared" si="8"/>
        <v>-190590.34071677353</v>
      </c>
      <c r="N22" s="621">
        <f t="shared" si="8"/>
        <v>-200914.80781303279</v>
      </c>
      <c r="O22" s="621">
        <f t="shared" si="8"/>
        <v>-211239.27490929206</v>
      </c>
      <c r="P22" s="621">
        <f t="shared" si="8"/>
        <v>-221563.74200555132</v>
      </c>
      <c r="Q22" s="621">
        <f t="shared" si="8"/>
        <v>-231888.20910181061</v>
      </c>
      <c r="R22" s="621">
        <f t="shared" si="8"/>
        <v>-242212.67619806988</v>
      </c>
      <c r="S22" s="621">
        <f t="shared" si="8"/>
        <v>-252537.14329432917</v>
      </c>
      <c r="T22" s="621">
        <f t="shared" si="8"/>
        <v>-262861.61039058841</v>
      </c>
      <c r="U22" s="621">
        <f t="shared" si="8"/>
        <v>-273186.0774868477</v>
      </c>
      <c r="V22" s="621">
        <f t="shared" si="8"/>
        <v>-283510.544583107</v>
      </c>
      <c r="W22" s="621">
        <f t="shared" si="8"/>
        <v>-293835.01167936623</v>
      </c>
      <c r="X22" s="621">
        <f t="shared" si="8"/>
        <v>-304159.47877562547</v>
      </c>
      <c r="Y22" s="621">
        <f t="shared" si="8"/>
        <v>-314483.94587188476</v>
      </c>
      <c r="Z22" s="621">
        <f t="shared" si="8"/>
        <v>-324808.41296814405</v>
      </c>
      <c r="AA22" s="621">
        <f t="shared" si="8"/>
        <v>-335132.88006440329</v>
      </c>
      <c r="AB22" s="621">
        <f t="shared" si="8"/>
        <v>-345457.3471606627</v>
      </c>
    </row>
    <row r="23" spans="2:28" x14ac:dyDescent="0.3">
      <c r="B23" s="199" t="s">
        <v>579</v>
      </c>
      <c r="C23" s="199"/>
      <c r="D23" s="199"/>
      <c r="E23" s="644" t="s">
        <v>576</v>
      </c>
      <c r="F23" s="199"/>
      <c r="G23" s="650">
        <f>'Unit Costs'!C54</f>
        <v>366414</v>
      </c>
      <c r="H23" s="323"/>
      <c r="I23" s="323"/>
      <c r="J23" s="323"/>
      <c r="K23" s="323"/>
      <c r="L23" s="323"/>
      <c r="M23" s="323"/>
      <c r="N23" s="323"/>
      <c r="O23" s="323"/>
      <c r="P23" s="323"/>
      <c r="Q23" s="323"/>
      <c r="R23" s="323"/>
      <c r="S23" s="323"/>
      <c r="T23" s="323"/>
      <c r="U23" s="323"/>
      <c r="V23" s="323"/>
      <c r="W23" s="323"/>
      <c r="X23" s="323"/>
      <c r="Y23" s="323"/>
      <c r="Z23" s="323"/>
      <c r="AA23" s="323"/>
      <c r="AB23" s="323"/>
    </row>
    <row r="24" spans="2:28" x14ac:dyDescent="0.3">
      <c r="B24" s="194"/>
      <c r="C24" s="646" t="s">
        <v>95</v>
      </c>
      <c r="D24" s="651">
        <f>'Unit Costs'!C59</f>
        <v>0.43228499999999997</v>
      </c>
      <c r="E24" s="646" t="s">
        <v>599</v>
      </c>
      <c r="F24" s="652">
        <f>D24/1000000</f>
        <v>4.3228499999999998E-7</v>
      </c>
      <c r="G24" s="646" t="s">
        <v>600</v>
      </c>
      <c r="H24" s="621">
        <f>H8*$F24*$G$23</f>
        <v>-21462.614279023088</v>
      </c>
      <c r="I24" s="621">
        <f t="shared" ref="I24:AB24" si="9">I8*$F24*$G$23</f>
        <v>-22862.420122954758</v>
      </c>
      <c r="J24" s="621">
        <f t="shared" si="9"/>
        <v>-24262.225966886432</v>
      </c>
      <c r="K24" s="621">
        <f t="shared" si="9"/>
        <v>-25662.031810818105</v>
      </c>
      <c r="L24" s="621">
        <f t="shared" si="9"/>
        <v>-27061.837654749772</v>
      </c>
      <c r="M24" s="621">
        <f t="shared" si="9"/>
        <v>-28461.643498681449</v>
      </c>
      <c r="N24" s="621">
        <f t="shared" si="9"/>
        <v>-29861.449342613116</v>
      </c>
      <c r="O24" s="621">
        <f t="shared" si="9"/>
        <v>-31261.255186544786</v>
      </c>
      <c r="P24" s="621">
        <f t="shared" si="9"/>
        <v>-32661.06103047646</v>
      </c>
      <c r="Q24" s="621">
        <f t="shared" si="9"/>
        <v>-34060.86687440813</v>
      </c>
      <c r="R24" s="621">
        <f t="shared" si="9"/>
        <v>-35460.672718339803</v>
      </c>
      <c r="S24" s="621">
        <f t="shared" si="9"/>
        <v>-36860.47856227147</v>
      </c>
      <c r="T24" s="621">
        <f t="shared" si="9"/>
        <v>-38260.284406203144</v>
      </c>
      <c r="U24" s="621">
        <f t="shared" si="9"/>
        <v>-39660.090250134817</v>
      </c>
      <c r="V24" s="621">
        <f t="shared" si="9"/>
        <v>-41059.896094066491</v>
      </c>
      <c r="W24" s="621">
        <f t="shared" si="9"/>
        <v>-42459.701937998158</v>
      </c>
      <c r="X24" s="621">
        <f t="shared" si="9"/>
        <v>-43859.507781929824</v>
      </c>
      <c r="Y24" s="621">
        <f t="shared" si="9"/>
        <v>-45259.31362586149</v>
      </c>
      <c r="Z24" s="621">
        <f t="shared" si="9"/>
        <v>-46659.119469793164</v>
      </c>
      <c r="AA24" s="621">
        <f t="shared" si="9"/>
        <v>-48058.925313724823</v>
      </c>
      <c r="AB24" s="621">
        <f t="shared" si="9"/>
        <v>-49458.731157656512</v>
      </c>
    </row>
    <row r="25" spans="2:28" x14ac:dyDescent="0.3">
      <c r="B25" s="194"/>
      <c r="C25" s="646" t="s">
        <v>4</v>
      </c>
      <c r="D25" s="648">
        <f>'Unit Costs'!C64</f>
        <v>20.334300000000002</v>
      </c>
      <c r="E25" s="646" t="s">
        <v>599</v>
      </c>
      <c r="F25" s="649">
        <f>D25/1000000</f>
        <v>2.0334300000000003E-5</v>
      </c>
      <c r="G25" s="646" t="s">
        <v>600</v>
      </c>
      <c r="H25" s="621">
        <f>H9*$F25*$G$23</f>
        <v>-214436.14421052669</v>
      </c>
      <c r="I25" s="621">
        <f t="shared" ref="I25:AA25" si="10">I9*$F25*$G$23</f>
        <v>-231241.11358383391</v>
      </c>
      <c r="J25" s="621">
        <f t="shared" si="10"/>
        <v>-248046.0829571411</v>
      </c>
      <c r="K25" s="621">
        <f t="shared" si="10"/>
        <v>-264851.05233044835</v>
      </c>
      <c r="L25" s="621">
        <f t="shared" si="10"/>
        <v>-281656.02170375554</v>
      </c>
      <c r="M25" s="621">
        <f t="shared" si="10"/>
        <v>-298460.99107706273</v>
      </c>
      <c r="N25" s="621">
        <f t="shared" si="10"/>
        <v>-315265.96045036992</v>
      </c>
      <c r="O25" s="621">
        <f t="shared" si="10"/>
        <v>-332070.92982367711</v>
      </c>
      <c r="P25" s="621">
        <f t="shared" si="10"/>
        <v>-348875.89919698436</v>
      </c>
      <c r="Q25" s="621">
        <f t="shared" si="10"/>
        <v>-365680.86857029155</v>
      </c>
      <c r="R25" s="621">
        <f t="shared" si="10"/>
        <v>-382485.83794359874</v>
      </c>
      <c r="S25" s="621">
        <f t="shared" si="10"/>
        <v>-399290.80731690599</v>
      </c>
      <c r="T25" s="621">
        <f t="shared" si="10"/>
        <v>-416095.77669021318</v>
      </c>
      <c r="U25" s="621">
        <f t="shared" si="10"/>
        <v>-432900.74606352038</v>
      </c>
      <c r="V25" s="621">
        <f t="shared" si="10"/>
        <v>-449705.71543682757</v>
      </c>
      <c r="W25" s="621">
        <f t="shared" si="10"/>
        <v>-466510.68481013476</v>
      </c>
      <c r="X25" s="621">
        <f t="shared" si="10"/>
        <v>-483315.65418344206</v>
      </c>
      <c r="Y25" s="621">
        <f t="shared" si="10"/>
        <v>-500120.62355674931</v>
      </c>
      <c r="Z25" s="621">
        <f t="shared" si="10"/>
        <v>-516925.5929300565</v>
      </c>
      <c r="AA25" s="621">
        <f t="shared" si="10"/>
        <v>-533730.56230336369</v>
      </c>
      <c r="AB25" s="621">
        <f>AB9*$F25*$G$23</f>
        <v>-550535.53167667112</v>
      </c>
    </row>
    <row r="26" spans="2:28" x14ac:dyDescent="0.3">
      <c r="B26" s="194"/>
      <c r="C26" s="178" t="s">
        <v>93</v>
      </c>
      <c r="D26" s="178"/>
      <c r="E26" s="178"/>
      <c r="F26" s="178"/>
      <c r="G26" s="178"/>
      <c r="H26" s="621">
        <f>H24+H25</f>
        <v>-235898.75848954977</v>
      </c>
      <c r="I26" s="621">
        <f t="shared" ref="I26:AB26" si="11">I24+I25</f>
        <v>-254103.53370678867</v>
      </c>
      <c r="J26" s="621">
        <f t="shared" si="11"/>
        <v>-272308.30892402754</v>
      </c>
      <c r="K26" s="621">
        <f t="shared" si="11"/>
        <v>-290513.08414126647</v>
      </c>
      <c r="L26" s="621">
        <f t="shared" si="11"/>
        <v>-308717.85935850529</v>
      </c>
      <c r="M26" s="621">
        <f t="shared" si="11"/>
        <v>-326922.63457574416</v>
      </c>
      <c r="N26" s="621">
        <f t="shared" si="11"/>
        <v>-345127.40979298303</v>
      </c>
      <c r="O26" s="621">
        <f t="shared" si="11"/>
        <v>-363332.1850102219</v>
      </c>
      <c r="P26" s="621">
        <f t="shared" si="11"/>
        <v>-381536.96022746083</v>
      </c>
      <c r="Q26" s="621">
        <f t="shared" si="11"/>
        <v>-399741.73544469971</v>
      </c>
      <c r="R26" s="621">
        <f t="shared" si="11"/>
        <v>-417946.51066193858</v>
      </c>
      <c r="S26" s="621">
        <f t="shared" si="11"/>
        <v>-436151.28587917745</v>
      </c>
      <c r="T26" s="621">
        <f t="shared" si="11"/>
        <v>-454356.06109641632</v>
      </c>
      <c r="U26" s="621">
        <f t="shared" si="11"/>
        <v>-472560.83631365519</v>
      </c>
      <c r="V26" s="621">
        <f t="shared" si="11"/>
        <v>-490765.61153089406</v>
      </c>
      <c r="W26" s="621">
        <f t="shared" si="11"/>
        <v>-508970.38674813294</v>
      </c>
      <c r="X26" s="621">
        <f t="shared" si="11"/>
        <v>-527175.16196537192</v>
      </c>
      <c r="Y26" s="621">
        <f t="shared" si="11"/>
        <v>-545379.93718261085</v>
      </c>
      <c r="Z26" s="621">
        <f t="shared" si="11"/>
        <v>-563584.71239984967</v>
      </c>
      <c r="AA26" s="621">
        <f t="shared" si="11"/>
        <v>-581789.48761708848</v>
      </c>
      <c r="AB26" s="621">
        <f t="shared" si="11"/>
        <v>-599994.26283432764</v>
      </c>
    </row>
    <row r="27" spans="2:28" x14ac:dyDescent="0.3">
      <c r="B27" s="199" t="s">
        <v>580</v>
      </c>
      <c r="C27" s="199"/>
      <c r="D27" s="199"/>
      <c r="E27" s="644" t="s">
        <v>576</v>
      </c>
      <c r="F27" s="199"/>
      <c r="G27" s="650">
        <f>'Unit Costs'!C55</f>
        <v>47341</v>
      </c>
      <c r="H27" s="323"/>
      <c r="I27" s="323"/>
      <c r="J27" s="323"/>
      <c r="K27" s="323"/>
      <c r="L27" s="323"/>
      <c r="M27" s="323"/>
      <c r="N27" s="323"/>
      <c r="O27" s="323"/>
      <c r="P27" s="323"/>
      <c r="Q27" s="323"/>
      <c r="R27" s="323"/>
      <c r="S27" s="323"/>
      <c r="T27" s="323"/>
      <c r="U27" s="323"/>
      <c r="V27" s="323"/>
      <c r="W27" s="323"/>
      <c r="X27" s="323"/>
      <c r="Y27" s="323"/>
      <c r="Z27" s="323"/>
      <c r="AA27" s="323"/>
      <c r="AB27" s="323"/>
    </row>
    <row r="28" spans="2:28" x14ac:dyDescent="0.3">
      <c r="B28" s="194"/>
      <c r="C28" s="646" t="s">
        <v>95</v>
      </c>
      <c r="D28" s="651">
        <f>'Unit Costs'!C60</f>
        <v>2.2947675000000003</v>
      </c>
      <c r="E28" s="646" t="s">
        <v>599</v>
      </c>
      <c r="F28" s="652">
        <f>D28/1000000</f>
        <v>2.2947675000000003E-6</v>
      </c>
      <c r="G28" s="646" t="s">
        <v>600</v>
      </c>
      <c r="H28" s="621">
        <f>H8*$F28*$G$27</f>
        <v>-14720.295002033206</v>
      </c>
      <c r="I28" s="621">
        <f t="shared" ref="I28:AB28" si="12">I8*$F28*$G$27</f>
        <v>-15680.362340539285</v>
      </c>
      <c r="J28" s="621">
        <f t="shared" si="12"/>
        <v>-16640.429679045363</v>
      </c>
      <c r="K28" s="621">
        <f t="shared" si="12"/>
        <v>-17600.497017551443</v>
      </c>
      <c r="L28" s="621">
        <f t="shared" si="12"/>
        <v>-18560.564356057519</v>
      </c>
      <c r="M28" s="621">
        <f t="shared" si="12"/>
        <v>-19520.631694563599</v>
      </c>
      <c r="N28" s="621">
        <f t="shared" si="12"/>
        <v>-20480.699033069679</v>
      </c>
      <c r="O28" s="621">
        <f t="shared" si="12"/>
        <v>-21440.766371575755</v>
      </c>
      <c r="P28" s="621">
        <f t="shared" si="12"/>
        <v>-22400.833710081835</v>
      </c>
      <c r="Q28" s="621">
        <f t="shared" si="12"/>
        <v>-23360.901048587915</v>
      </c>
      <c r="R28" s="621">
        <f t="shared" si="12"/>
        <v>-24320.968387093992</v>
      </c>
      <c r="S28" s="621">
        <f t="shared" si="12"/>
        <v>-25281.035725600072</v>
      </c>
      <c r="T28" s="621">
        <f t="shared" si="12"/>
        <v>-26241.103064106148</v>
      </c>
      <c r="U28" s="621">
        <f t="shared" si="12"/>
        <v>-27201.170402612228</v>
      </c>
      <c r="V28" s="621">
        <f t="shared" si="12"/>
        <v>-28161.237741118308</v>
      </c>
      <c r="W28" s="621">
        <f t="shared" si="12"/>
        <v>-29121.305079624384</v>
      </c>
      <c r="X28" s="621">
        <f t="shared" si="12"/>
        <v>-30081.372418130461</v>
      </c>
      <c r="Y28" s="621">
        <f t="shared" si="12"/>
        <v>-31041.439756636537</v>
      </c>
      <c r="Z28" s="621">
        <f t="shared" si="12"/>
        <v>-32001.50709514261</v>
      </c>
      <c r="AA28" s="621">
        <f t="shared" si="12"/>
        <v>-32961.574433648682</v>
      </c>
      <c r="AB28" s="621">
        <f t="shared" si="12"/>
        <v>-33921.641772154777</v>
      </c>
    </row>
    <row r="29" spans="2:28" x14ac:dyDescent="0.3">
      <c r="B29" s="194"/>
      <c r="C29" s="646" t="s">
        <v>4</v>
      </c>
      <c r="D29" s="648">
        <f>'Unit Costs'!C65</f>
        <v>8.8590824999999995</v>
      </c>
      <c r="E29" s="646" t="s">
        <v>599</v>
      </c>
      <c r="F29" s="649">
        <f>D29/1000000</f>
        <v>8.8590825000000001E-6</v>
      </c>
      <c r="G29" s="646" t="s">
        <v>600</v>
      </c>
      <c r="H29" s="621">
        <f>H9*$F29*$G$27</f>
        <v>-12070.433773570725</v>
      </c>
      <c r="I29" s="621">
        <f t="shared" ref="I29:AB29" si="13">I9*$F29*$G$27</f>
        <v>-13016.371645351537</v>
      </c>
      <c r="J29" s="621">
        <f t="shared" si="13"/>
        <v>-13962.309517132351</v>
      </c>
      <c r="K29" s="621">
        <f t="shared" si="13"/>
        <v>-14908.247388913162</v>
      </c>
      <c r="L29" s="621">
        <f t="shared" si="13"/>
        <v>-15854.185260693976</v>
      </c>
      <c r="M29" s="621">
        <f t="shared" si="13"/>
        <v>-16800.123132474786</v>
      </c>
      <c r="N29" s="621">
        <f t="shared" si="13"/>
        <v>-17746.0610042556</v>
      </c>
      <c r="O29" s="621">
        <f t="shared" si="13"/>
        <v>-18691.99887603641</v>
      </c>
      <c r="P29" s="621">
        <f t="shared" si="13"/>
        <v>-19637.936747817224</v>
      </c>
      <c r="Q29" s="621">
        <f t="shared" si="13"/>
        <v>-20583.874619598035</v>
      </c>
      <c r="R29" s="621">
        <f t="shared" si="13"/>
        <v>-21529.812491378849</v>
      </c>
      <c r="S29" s="621">
        <f t="shared" si="13"/>
        <v>-22475.750363159659</v>
      </c>
      <c r="T29" s="621">
        <f t="shared" si="13"/>
        <v>-23421.688234940473</v>
      </c>
      <c r="U29" s="621">
        <f t="shared" si="13"/>
        <v>-24367.626106721287</v>
      </c>
      <c r="V29" s="621">
        <f t="shared" si="13"/>
        <v>-25313.563978502098</v>
      </c>
      <c r="W29" s="621">
        <f t="shared" si="13"/>
        <v>-26259.501850282912</v>
      </c>
      <c r="X29" s="621">
        <f t="shared" si="13"/>
        <v>-27205.439722063726</v>
      </c>
      <c r="Y29" s="621">
        <f t="shared" si="13"/>
        <v>-28151.37759384454</v>
      </c>
      <c r="Z29" s="621">
        <f t="shared" si="13"/>
        <v>-29097.31546562535</v>
      </c>
      <c r="AA29" s="621">
        <f t="shared" si="13"/>
        <v>-30043.253337406164</v>
      </c>
      <c r="AB29" s="621">
        <f t="shared" si="13"/>
        <v>-30989.191209186989</v>
      </c>
    </row>
    <row r="30" spans="2:28" x14ac:dyDescent="0.3">
      <c r="B30" s="194"/>
      <c r="C30" s="178" t="s">
        <v>93</v>
      </c>
      <c r="D30" s="178"/>
      <c r="E30" s="178"/>
      <c r="F30" s="178"/>
      <c r="G30" s="178"/>
      <c r="H30" s="621">
        <f>H28+H29</f>
        <v>-26790.72877560393</v>
      </c>
      <c r="I30" s="621">
        <f t="shared" ref="I30:AB30" si="14">I28+I29</f>
        <v>-28696.733985890824</v>
      </c>
      <c r="J30" s="621">
        <f t="shared" si="14"/>
        <v>-30602.739196177714</v>
      </c>
      <c r="K30" s="621">
        <f t="shared" si="14"/>
        <v>-32508.744406464604</v>
      </c>
      <c r="L30" s="621">
        <f t="shared" si="14"/>
        <v>-34414.749616751491</v>
      </c>
      <c r="M30" s="621">
        <f t="shared" si="14"/>
        <v>-36320.754827038385</v>
      </c>
      <c r="N30" s="621">
        <f t="shared" si="14"/>
        <v>-38226.760037325279</v>
      </c>
      <c r="O30" s="621">
        <f t="shared" si="14"/>
        <v>-40132.765247612166</v>
      </c>
      <c r="P30" s="621">
        <f t="shared" si="14"/>
        <v>-42038.77045789906</v>
      </c>
      <c r="Q30" s="621">
        <f t="shared" si="14"/>
        <v>-43944.775668185946</v>
      </c>
      <c r="R30" s="621">
        <f t="shared" si="14"/>
        <v>-45850.78087847284</v>
      </c>
      <c r="S30" s="621">
        <f t="shared" si="14"/>
        <v>-47756.786088759734</v>
      </c>
      <c r="T30" s="621">
        <f t="shared" si="14"/>
        <v>-49662.791299046621</v>
      </c>
      <c r="U30" s="621">
        <f t="shared" si="14"/>
        <v>-51568.796509333515</v>
      </c>
      <c r="V30" s="621">
        <f t="shared" si="14"/>
        <v>-53474.801719620402</v>
      </c>
      <c r="W30" s="621">
        <f t="shared" si="14"/>
        <v>-55380.806929907296</v>
      </c>
      <c r="X30" s="621">
        <f t="shared" si="14"/>
        <v>-57286.81214019419</v>
      </c>
      <c r="Y30" s="621">
        <f t="shared" si="14"/>
        <v>-59192.817350481077</v>
      </c>
      <c r="Z30" s="621">
        <f t="shared" si="14"/>
        <v>-61098.822560767963</v>
      </c>
      <c r="AA30" s="621">
        <f t="shared" si="14"/>
        <v>-63004.827771054843</v>
      </c>
      <c r="AB30" s="621">
        <f t="shared" si="14"/>
        <v>-64910.832981341766</v>
      </c>
    </row>
    <row r="31" spans="2:28" x14ac:dyDescent="0.3">
      <c r="B31" s="199" t="s">
        <v>581</v>
      </c>
      <c r="C31" s="199"/>
      <c r="D31" s="199"/>
      <c r="E31" s="199"/>
      <c r="F31" s="199"/>
      <c r="G31" s="199"/>
      <c r="H31" s="323"/>
      <c r="I31" s="323"/>
      <c r="J31" s="323"/>
      <c r="K31" s="323"/>
      <c r="L31" s="323"/>
      <c r="M31" s="323"/>
      <c r="N31" s="323"/>
      <c r="O31" s="323"/>
      <c r="P31" s="323"/>
      <c r="Q31" s="323"/>
      <c r="R31" s="323"/>
      <c r="S31" s="323"/>
      <c r="T31" s="323"/>
      <c r="U31" s="323"/>
      <c r="V31" s="323"/>
      <c r="W31" s="323"/>
      <c r="X31" s="323"/>
      <c r="Y31" s="323"/>
      <c r="Z31" s="323"/>
      <c r="AA31" s="323"/>
      <c r="AB31" s="323"/>
    </row>
    <row r="32" spans="2:28" x14ac:dyDescent="0.3">
      <c r="B32" s="194"/>
      <c r="C32" s="646" t="s">
        <v>95</v>
      </c>
      <c r="D32" s="618"/>
      <c r="E32" s="178"/>
      <c r="F32" s="620"/>
      <c r="G32" s="178"/>
      <c r="H32" s="621">
        <f>H12+H16+H20+H24+H28</f>
        <v>-229898.44965860719</v>
      </c>
      <c r="I32" s="621">
        <f t="shared" ref="I32:AB34" si="15">I12+I16+I20+I24+I28</f>
        <v>-244892.57801404619</v>
      </c>
      <c r="J32" s="621">
        <f t="shared" si="15"/>
        <v>-263149.01387996529</v>
      </c>
      <c r="K32" s="621">
        <f t="shared" si="15"/>
        <v>-285232.41242742422</v>
      </c>
      <c r="L32" s="621">
        <f t="shared" si="15"/>
        <v>-304429.94024510926</v>
      </c>
      <c r="M32" s="621">
        <f t="shared" si="15"/>
        <v>-324003.9048435007</v>
      </c>
      <c r="N32" s="621">
        <f t="shared" si="15"/>
        <v>-343954.30622259842</v>
      </c>
      <c r="O32" s="621">
        <f t="shared" si="15"/>
        <v>-364281.14438240253</v>
      </c>
      <c r="P32" s="621">
        <f t="shared" si="15"/>
        <v>-384984.41932291299</v>
      </c>
      <c r="Q32" s="621">
        <f t="shared" si="15"/>
        <v>-401484.29480117734</v>
      </c>
      <c r="R32" s="621">
        <f t="shared" si="15"/>
        <v>-422752.22491274739</v>
      </c>
      <c r="S32" s="621">
        <f t="shared" si="15"/>
        <v>-449352.86482868239</v>
      </c>
      <c r="T32" s="621">
        <f t="shared" si="15"/>
        <v>-471561.88689201826</v>
      </c>
      <c r="U32" s="621">
        <f t="shared" si="15"/>
        <v>-494147.34573606052</v>
      </c>
      <c r="V32" s="621">
        <f t="shared" si="15"/>
        <v>-517109.24136080901</v>
      </c>
      <c r="W32" s="621">
        <f t="shared" si="15"/>
        <v>-540447.5737662639</v>
      </c>
      <c r="X32" s="621">
        <f t="shared" si="15"/>
        <v>-564162.34295242501</v>
      </c>
      <c r="Y32" s="621">
        <f t="shared" si="15"/>
        <v>-588253.54891929263</v>
      </c>
      <c r="Z32" s="621">
        <f t="shared" si="15"/>
        <v>-612721.19166686654</v>
      </c>
      <c r="AA32" s="621">
        <f t="shared" si="15"/>
        <v>-644027.29134163086</v>
      </c>
      <c r="AB32" s="621">
        <f t="shared" si="15"/>
        <v>-669436.02604097081</v>
      </c>
    </row>
    <row r="33" spans="2:28" x14ac:dyDescent="0.3">
      <c r="B33" s="194"/>
      <c r="C33" s="646" t="s">
        <v>4</v>
      </c>
      <c r="D33" s="618"/>
      <c r="E33" s="178"/>
      <c r="F33" s="620"/>
      <c r="G33" s="178"/>
      <c r="H33" s="621">
        <f>H13+H17+H21+H25+H29</f>
        <v>-429243.93883097405</v>
      </c>
      <c r="I33" s="621">
        <f t="shared" ref="I33:W33" si="16">I13+I17+I21+I25+I29</f>
        <v>-462883.0031421209</v>
      </c>
      <c r="J33" s="621">
        <f t="shared" si="16"/>
        <v>-499120.34444179368</v>
      </c>
      <c r="K33" s="621">
        <f t="shared" si="16"/>
        <v>-538484.05772784515</v>
      </c>
      <c r="L33" s="621">
        <f t="shared" si="16"/>
        <v>-575601.5573572726</v>
      </c>
      <c r="M33" s="621">
        <f t="shared" si="16"/>
        <v>-613071.12031860196</v>
      </c>
      <c r="N33" s="621">
        <f t="shared" si="16"/>
        <v>-650892.74661183299</v>
      </c>
      <c r="O33" s="621">
        <f t="shared" si="16"/>
        <v>-689066.43623696594</v>
      </c>
      <c r="P33" s="621">
        <f t="shared" si="16"/>
        <v>-727592.18919400079</v>
      </c>
      <c r="Q33" s="621">
        <f t="shared" si="16"/>
        <v>-762639.50683275505</v>
      </c>
      <c r="R33" s="621">
        <f t="shared" si="16"/>
        <v>-801693.35478764272</v>
      </c>
      <c r="S33" s="621">
        <f t="shared" si="16"/>
        <v>-845281.82805651636</v>
      </c>
      <c r="T33" s="621">
        <f t="shared" si="16"/>
        <v>-885215.83434115874</v>
      </c>
      <c r="U33" s="621">
        <f t="shared" si="16"/>
        <v>-925501.90395770257</v>
      </c>
      <c r="V33" s="621">
        <f t="shared" si="16"/>
        <v>-966140.03690614854</v>
      </c>
      <c r="W33" s="621">
        <f t="shared" si="16"/>
        <v>-1007130.2331864963</v>
      </c>
      <c r="X33" s="621">
        <f t="shared" si="15"/>
        <v>-1048472.4927987461</v>
      </c>
      <c r="Y33" s="621">
        <f t="shared" si="15"/>
        <v>-1090166.8157428976</v>
      </c>
      <c r="Z33" s="621">
        <f t="shared" si="15"/>
        <v>-1132213.2020189511</v>
      </c>
      <c r="AA33" s="621">
        <f t="shared" si="15"/>
        <v>-1180202.4669365978</v>
      </c>
      <c r="AB33" s="621">
        <f t="shared" si="15"/>
        <v>-1223129.0115424062</v>
      </c>
    </row>
    <row r="34" spans="2:28" x14ac:dyDescent="0.3">
      <c r="B34" s="194"/>
      <c r="C34" s="178" t="s">
        <v>93</v>
      </c>
      <c r="D34" s="178"/>
      <c r="E34" s="178"/>
      <c r="F34" s="178"/>
      <c r="G34" s="178"/>
      <c r="H34" s="638">
        <f>H14+H18+H22+H26+H30</f>
        <v>-659142.38848958118</v>
      </c>
      <c r="I34" s="638">
        <f t="shared" si="15"/>
        <v>-707775.5811561672</v>
      </c>
      <c r="J34" s="638">
        <f t="shared" si="15"/>
        <v>-762269.35832175903</v>
      </c>
      <c r="K34" s="638">
        <f t="shared" si="15"/>
        <v>-823716.47015526949</v>
      </c>
      <c r="L34" s="638">
        <f t="shared" si="15"/>
        <v>-880031.49760238174</v>
      </c>
      <c r="M34" s="638">
        <f t="shared" si="15"/>
        <v>-937075.02516210242</v>
      </c>
      <c r="N34" s="638">
        <f t="shared" si="15"/>
        <v>-994847.05283443141</v>
      </c>
      <c r="O34" s="638">
        <f t="shared" si="15"/>
        <v>-1053347.5806193685</v>
      </c>
      <c r="P34" s="638">
        <f t="shared" si="15"/>
        <v>-1112576.6085169136</v>
      </c>
      <c r="Q34" s="638">
        <f t="shared" si="15"/>
        <v>-1164123.8016339324</v>
      </c>
      <c r="R34" s="638">
        <f t="shared" si="15"/>
        <v>-1224445.5797003901</v>
      </c>
      <c r="S34" s="638">
        <f t="shared" si="15"/>
        <v>-1294634.6928851989</v>
      </c>
      <c r="T34" s="638">
        <f t="shared" si="15"/>
        <v>-1356777.721233177</v>
      </c>
      <c r="U34" s="638">
        <f t="shared" si="15"/>
        <v>-1419649.249693763</v>
      </c>
      <c r="V34" s="638">
        <f t="shared" si="15"/>
        <v>-1483249.2782669575</v>
      </c>
      <c r="W34" s="638">
        <f t="shared" si="15"/>
        <v>-1547577.8069527603</v>
      </c>
      <c r="X34" s="638">
        <f t="shared" si="15"/>
        <v>-1612634.8357511712</v>
      </c>
      <c r="Y34" s="638">
        <f t="shared" si="15"/>
        <v>-1678420.3646621904</v>
      </c>
      <c r="Z34" s="638">
        <f t="shared" si="15"/>
        <v>-1744934.3936858175</v>
      </c>
      <c r="AA34" s="638">
        <f t="shared" si="15"/>
        <v>-1824229.7582782286</v>
      </c>
      <c r="AB34" s="638">
        <f t="shared" si="15"/>
        <v>-1892565.037583377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About the Spreadsheet Tabs</vt:lpstr>
      <vt:lpstr>Raw Traffic Counts</vt:lpstr>
      <vt:lpstr>Raw LOS</vt:lpstr>
      <vt:lpstr>VMT</vt:lpstr>
      <vt:lpstr>LOS to Delay</vt:lpstr>
      <vt:lpstr>Annualized</vt:lpstr>
      <vt:lpstr>Straight-Line Change</vt:lpstr>
      <vt:lpstr>VOT and VOC</vt:lpstr>
      <vt:lpstr>Emissions Costs</vt:lpstr>
      <vt:lpstr>Crash Costs</vt:lpstr>
      <vt:lpstr>M&amp;O Costs</vt:lpstr>
      <vt:lpstr>ConstructionCosts</vt:lpstr>
      <vt:lpstr>ForEIA</vt:lpstr>
      <vt:lpstr>BCA</vt:lpstr>
      <vt:lpstr>Deliverable</vt:lpstr>
      <vt:lpstr>Economic Impacts</vt:lpstr>
      <vt:lpstr>Unit Costs</vt:lpstr>
      <vt:lpstr>EmissionsRates</vt:lpstr>
      <vt:lpstr>WageRates</vt:lpstr>
      <vt:lpstr>TravelTimeIndex</vt:lpstr>
      <vt:lpstr>Pivot</vt:lpstr>
      <vt:lpstr>M&amp;O</vt:lpstr>
      <vt:lpstr>Pavement</vt:lpstr>
      <vt:lpstr>Crash Rates</vt:lpstr>
      <vt:lpstr>OperatingCosts</vt:lpstr>
      <vt:lpstr>SafetyValues</vt:lpstr>
      <vt:lpstr>FuelConsumption</vt:lpstr>
      <vt:lpstr>CPI</vt:lpstr>
    </vt:vector>
  </TitlesOfParts>
  <Company>Cambridge Systematics,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Cambridge Systematics, Inc.</dc:creator>
  <cp:lastModifiedBy>Josh Hoodin</cp:lastModifiedBy>
  <dcterms:created xsi:type="dcterms:W3CDTF">2015-11-30T20:03:11Z</dcterms:created>
  <dcterms:modified xsi:type="dcterms:W3CDTF">2016-12-15T16:02:23Z</dcterms:modified>
</cp:coreProperties>
</file>