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1820" tabRatio="819" firstSheet="1" activeTab="9"/>
  </bookViews>
  <sheets>
    <sheet name="Executive Summary" sheetId="13" r:id="rId1"/>
    <sheet name="Input Assumptions" sheetId="3" r:id="rId2"/>
    <sheet name="B1. Baseline Operating Costs" sheetId="1" r:id="rId3"/>
    <sheet name="B2. Baseline Travel Delay Costs" sheetId="5" r:id="rId4"/>
    <sheet name="F1 Veh. Operating Cost Savings" sheetId="9" r:id="rId5"/>
    <sheet name="F2 Travel Time Cost Savings" sheetId="8" r:id="rId6"/>
    <sheet name="F3 Emission Cost Savings" sheetId="10" r:id="rId7"/>
    <sheet name="Emission Inputs" sheetId="11" r:id="rId8"/>
    <sheet name="F4 O&amp;M Benefits" sheetId="4" r:id="rId9"/>
    <sheet name="F5 Project Costs" sheetId="14" r:id="rId10"/>
  </sheets>
  <calcPr calcId="145621"/>
</workbook>
</file>

<file path=xl/calcChain.xml><?xml version="1.0" encoding="utf-8"?>
<calcChain xmlns="http://schemas.openxmlformats.org/spreadsheetml/2006/main">
  <c r="F17" i="13" l="1"/>
  <c r="D20" i="13"/>
  <c r="F16" i="13"/>
  <c r="F18" i="13"/>
  <c r="F19" i="13"/>
  <c r="F20" i="13" s="1"/>
  <c r="F21" i="13"/>
  <c r="F15" i="13"/>
  <c r="F22" i="13" l="1"/>
  <c r="K9" i="13"/>
  <c r="J9" i="13"/>
  <c r="K7" i="13"/>
  <c r="J7" i="13"/>
  <c r="K5" i="13"/>
  <c r="J5" i="13"/>
  <c r="K3" i="13"/>
  <c r="J3" i="13"/>
  <c r="E21" i="13"/>
  <c r="D21" i="13"/>
  <c r="E15" i="13"/>
  <c r="E16" i="13"/>
  <c r="E17" i="13"/>
  <c r="E18" i="13"/>
  <c r="E19" i="13"/>
  <c r="D19" i="13"/>
  <c r="D18" i="13"/>
  <c r="D17" i="13"/>
  <c r="G150" i="13"/>
  <c r="H150" i="13"/>
  <c r="G151" i="13"/>
  <c r="H151" i="13"/>
  <c r="G152" i="13"/>
  <c r="H152" i="13"/>
  <c r="G153" i="13"/>
  <c r="H153" i="13"/>
  <c r="G154" i="13"/>
  <c r="H154" i="13"/>
  <c r="G155" i="13"/>
  <c r="H155" i="13"/>
  <c r="G156" i="13"/>
  <c r="H156" i="13"/>
  <c r="G157" i="13"/>
  <c r="H157" i="13"/>
  <c r="G158" i="13"/>
  <c r="H158" i="13"/>
  <c r="G159" i="13"/>
  <c r="H159" i="13"/>
  <c r="G160" i="13"/>
  <c r="H160" i="13"/>
  <c r="G161" i="13"/>
  <c r="H161" i="13"/>
  <c r="G162" i="13"/>
  <c r="H162" i="13"/>
  <c r="G163" i="13"/>
  <c r="H163" i="13"/>
  <c r="G164" i="13"/>
  <c r="H164" i="13"/>
  <c r="G165" i="13"/>
  <c r="H165" i="13"/>
  <c r="G166" i="13"/>
  <c r="H166" i="13"/>
  <c r="G167" i="13"/>
  <c r="H167" i="13"/>
  <c r="G168" i="13"/>
  <c r="H168" i="13"/>
  <c r="G169" i="13"/>
  <c r="H169" i="13"/>
  <c r="G170" i="13"/>
  <c r="H170" i="13"/>
  <c r="G171" i="13"/>
  <c r="H171" i="13"/>
  <c r="G172" i="13"/>
  <c r="H172" i="13"/>
  <c r="G173" i="13"/>
  <c r="H173" i="13"/>
  <c r="G174" i="13"/>
  <c r="H174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50" i="13"/>
  <c r="F175" i="13" l="1"/>
  <c r="G175" i="13"/>
  <c r="H175" i="13"/>
  <c r="D175" i="13"/>
  <c r="G120" i="13"/>
  <c r="H120" i="13"/>
  <c r="I120" i="13"/>
  <c r="G121" i="13"/>
  <c r="H121" i="13"/>
  <c r="I121" i="13"/>
  <c r="G122" i="13"/>
  <c r="H122" i="13"/>
  <c r="I122" i="13"/>
  <c r="G123" i="13"/>
  <c r="H123" i="13"/>
  <c r="I123" i="13"/>
  <c r="G124" i="13"/>
  <c r="H124" i="13"/>
  <c r="I124" i="13"/>
  <c r="G125" i="13"/>
  <c r="H125" i="13"/>
  <c r="I125" i="13"/>
  <c r="G126" i="13"/>
  <c r="H126" i="13"/>
  <c r="I126" i="13"/>
  <c r="G127" i="13"/>
  <c r="H127" i="13"/>
  <c r="I127" i="13"/>
  <c r="G128" i="13"/>
  <c r="H128" i="13"/>
  <c r="I128" i="13"/>
  <c r="G129" i="13"/>
  <c r="H129" i="13"/>
  <c r="I129" i="13"/>
  <c r="G130" i="13"/>
  <c r="H130" i="13"/>
  <c r="I130" i="13"/>
  <c r="G131" i="13"/>
  <c r="H131" i="13"/>
  <c r="I131" i="13"/>
  <c r="G132" i="13"/>
  <c r="H132" i="13"/>
  <c r="I132" i="13"/>
  <c r="G133" i="13"/>
  <c r="H133" i="13"/>
  <c r="I133" i="13"/>
  <c r="G134" i="13"/>
  <c r="H134" i="13"/>
  <c r="I134" i="13"/>
  <c r="G135" i="13"/>
  <c r="H135" i="13"/>
  <c r="I135" i="13"/>
  <c r="G136" i="13"/>
  <c r="H136" i="13"/>
  <c r="I136" i="13"/>
  <c r="G137" i="13"/>
  <c r="H137" i="13"/>
  <c r="I137" i="13"/>
  <c r="G138" i="13"/>
  <c r="H138" i="13"/>
  <c r="I138" i="13"/>
  <c r="G139" i="13"/>
  <c r="H139" i="13"/>
  <c r="I139" i="13"/>
  <c r="G140" i="13"/>
  <c r="H140" i="13"/>
  <c r="I140" i="13"/>
  <c r="G141" i="13"/>
  <c r="H141" i="13"/>
  <c r="I141" i="13"/>
  <c r="G142" i="13"/>
  <c r="H142" i="13"/>
  <c r="I142" i="13"/>
  <c r="G143" i="13"/>
  <c r="H143" i="13"/>
  <c r="I143" i="13"/>
  <c r="H119" i="13"/>
  <c r="I119" i="13"/>
  <c r="G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19" i="13"/>
  <c r="D144" i="13" s="1"/>
  <c r="D88" i="13"/>
  <c r="E88" i="13"/>
  <c r="F88" i="13"/>
  <c r="G88" i="13"/>
  <c r="H88" i="13"/>
  <c r="I88" i="13"/>
  <c r="J88" i="13"/>
  <c r="D89" i="13"/>
  <c r="E89" i="13"/>
  <c r="F89" i="13"/>
  <c r="G89" i="13"/>
  <c r="H89" i="13"/>
  <c r="I89" i="13"/>
  <c r="J89" i="13"/>
  <c r="D90" i="13"/>
  <c r="E90" i="13"/>
  <c r="F90" i="13"/>
  <c r="G90" i="13"/>
  <c r="H90" i="13"/>
  <c r="I90" i="13"/>
  <c r="J90" i="13"/>
  <c r="D91" i="13"/>
  <c r="E91" i="13"/>
  <c r="F91" i="13"/>
  <c r="G91" i="13"/>
  <c r="H91" i="13"/>
  <c r="I91" i="13"/>
  <c r="J91" i="13"/>
  <c r="D92" i="13"/>
  <c r="E92" i="13"/>
  <c r="F92" i="13"/>
  <c r="G92" i="13"/>
  <c r="H92" i="13"/>
  <c r="I92" i="13"/>
  <c r="J92" i="13"/>
  <c r="D93" i="13"/>
  <c r="E93" i="13"/>
  <c r="F93" i="13"/>
  <c r="G93" i="13"/>
  <c r="H93" i="13"/>
  <c r="I93" i="13"/>
  <c r="J93" i="13"/>
  <c r="D94" i="13"/>
  <c r="E94" i="13"/>
  <c r="F94" i="13"/>
  <c r="G94" i="13"/>
  <c r="H94" i="13"/>
  <c r="I94" i="13"/>
  <c r="J94" i="13"/>
  <c r="D95" i="13"/>
  <c r="E95" i="13"/>
  <c r="F95" i="13"/>
  <c r="G95" i="13"/>
  <c r="H95" i="13"/>
  <c r="I95" i="13"/>
  <c r="J95" i="13"/>
  <c r="D96" i="13"/>
  <c r="E96" i="13"/>
  <c r="F96" i="13"/>
  <c r="G96" i="13"/>
  <c r="H96" i="13"/>
  <c r="I96" i="13"/>
  <c r="J96" i="13"/>
  <c r="D97" i="13"/>
  <c r="E97" i="13"/>
  <c r="F97" i="13"/>
  <c r="G97" i="13"/>
  <c r="H97" i="13"/>
  <c r="I97" i="13"/>
  <c r="J97" i="13"/>
  <c r="D98" i="13"/>
  <c r="E98" i="13"/>
  <c r="F98" i="13"/>
  <c r="G98" i="13"/>
  <c r="H98" i="13"/>
  <c r="I98" i="13"/>
  <c r="J98" i="13"/>
  <c r="D99" i="13"/>
  <c r="E99" i="13"/>
  <c r="F99" i="13"/>
  <c r="G99" i="13"/>
  <c r="H99" i="13"/>
  <c r="I99" i="13"/>
  <c r="J99" i="13"/>
  <c r="D100" i="13"/>
  <c r="E100" i="13"/>
  <c r="F100" i="13"/>
  <c r="G100" i="13"/>
  <c r="H100" i="13"/>
  <c r="I100" i="13"/>
  <c r="J100" i="13"/>
  <c r="D101" i="13"/>
  <c r="E101" i="13"/>
  <c r="F101" i="13"/>
  <c r="G101" i="13"/>
  <c r="H101" i="13"/>
  <c r="I101" i="13"/>
  <c r="J101" i="13"/>
  <c r="D102" i="13"/>
  <c r="E102" i="13"/>
  <c r="F102" i="13"/>
  <c r="G102" i="13"/>
  <c r="H102" i="13"/>
  <c r="I102" i="13"/>
  <c r="J102" i="13"/>
  <c r="D103" i="13"/>
  <c r="E103" i="13"/>
  <c r="F103" i="13"/>
  <c r="G103" i="13"/>
  <c r="H103" i="13"/>
  <c r="I103" i="13"/>
  <c r="J103" i="13"/>
  <c r="D104" i="13"/>
  <c r="E104" i="13"/>
  <c r="F104" i="13"/>
  <c r="G104" i="13"/>
  <c r="H104" i="13"/>
  <c r="I104" i="13"/>
  <c r="J104" i="13"/>
  <c r="D105" i="13"/>
  <c r="E105" i="13"/>
  <c r="F105" i="13"/>
  <c r="G105" i="13"/>
  <c r="H105" i="13"/>
  <c r="I105" i="13"/>
  <c r="J105" i="13"/>
  <c r="D106" i="13"/>
  <c r="E106" i="13"/>
  <c r="F106" i="13"/>
  <c r="G106" i="13"/>
  <c r="H106" i="13"/>
  <c r="I106" i="13"/>
  <c r="J106" i="13"/>
  <c r="D107" i="13"/>
  <c r="E107" i="13"/>
  <c r="F107" i="13"/>
  <c r="G107" i="13"/>
  <c r="H107" i="13"/>
  <c r="I107" i="13"/>
  <c r="J107" i="13"/>
  <c r="D108" i="13"/>
  <c r="E108" i="13"/>
  <c r="F108" i="13"/>
  <c r="G108" i="13"/>
  <c r="H108" i="13"/>
  <c r="I108" i="13"/>
  <c r="J108" i="13"/>
  <c r="D109" i="13"/>
  <c r="E109" i="13"/>
  <c r="F109" i="13"/>
  <c r="G109" i="13"/>
  <c r="H109" i="13"/>
  <c r="I109" i="13"/>
  <c r="J109" i="13"/>
  <c r="D110" i="13"/>
  <c r="E110" i="13"/>
  <c r="F110" i="13"/>
  <c r="G110" i="13"/>
  <c r="H110" i="13"/>
  <c r="I110" i="13"/>
  <c r="J110" i="13"/>
  <c r="D111" i="13"/>
  <c r="E111" i="13"/>
  <c r="F111" i="13"/>
  <c r="G111" i="13"/>
  <c r="H111" i="13"/>
  <c r="I111" i="13"/>
  <c r="J111" i="13"/>
  <c r="E87" i="13"/>
  <c r="F87" i="13"/>
  <c r="G87" i="13"/>
  <c r="H87" i="13"/>
  <c r="I87" i="13"/>
  <c r="J87" i="13"/>
  <c r="D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87" i="13"/>
  <c r="C112" i="13" s="1"/>
  <c r="D51" i="13"/>
  <c r="E51" i="13"/>
  <c r="F51" i="13"/>
  <c r="G51" i="13"/>
  <c r="H51" i="13"/>
  <c r="I51" i="13"/>
  <c r="J51" i="13"/>
  <c r="K51" i="13"/>
  <c r="C51" i="13"/>
  <c r="C28" i="9"/>
  <c r="D28" i="9"/>
  <c r="E28" i="9"/>
  <c r="F28" i="9"/>
  <c r="G28" i="9"/>
  <c r="H28" i="9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D26" i="13"/>
  <c r="E26" i="13"/>
  <c r="F26" i="13"/>
  <c r="G26" i="13"/>
  <c r="H26" i="13"/>
  <c r="I26" i="13"/>
  <c r="J26" i="13"/>
  <c r="K26" i="13"/>
  <c r="C26" i="13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3" i="9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4" i="10"/>
  <c r="K29" i="10"/>
  <c r="L29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4" i="10"/>
  <c r="D15" i="13" l="1"/>
  <c r="J112" i="13"/>
  <c r="F112" i="13"/>
  <c r="I112" i="13"/>
  <c r="H144" i="13"/>
  <c r="F144" i="13"/>
  <c r="E112" i="13"/>
  <c r="G112" i="13"/>
  <c r="D112" i="13"/>
  <c r="F32" i="9"/>
  <c r="F37" i="1"/>
  <c r="E34" i="8"/>
  <c r="C43" i="8"/>
  <c r="F42" i="8"/>
  <c r="F43" i="8" s="1"/>
  <c r="E35" i="8" s="1"/>
  <c r="C52" i="5"/>
  <c r="F51" i="5"/>
  <c r="F52" i="5" s="1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4" i="10"/>
  <c r="F89" i="10"/>
  <c r="F90" i="10"/>
  <c r="F91" i="10"/>
  <c r="G91" i="10" s="1"/>
  <c r="F92" i="10"/>
  <c r="G92" i="10" s="1"/>
  <c r="F93" i="10"/>
  <c r="F94" i="10"/>
  <c r="F95" i="10"/>
  <c r="F96" i="10"/>
  <c r="G96" i="10" s="1"/>
  <c r="F97" i="10"/>
  <c r="F98" i="10"/>
  <c r="F99" i="10"/>
  <c r="G99" i="10" s="1"/>
  <c r="F100" i="10"/>
  <c r="F101" i="10"/>
  <c r="F102" i="10"/>
  <c r="F103" i="10"/>
  <c r="F104" i="10"/>
  <c r="G104" i="10" s="1"/>
  <c r="F105" i="10"/>
  <c r="F106" i="10"/>
  <c r="F107" i="10"/>
  <c r="G107" i="10" s="1"/>
  <c r="F108" i="10"/>
  <c r="F109" i="10"/>
  <c r="F110" i="10"/>
  <c r="F111" i="10"/>
  <c r="F112" i="10"/>
  <c r="F88" i="10"/>
  <c r="E89" i="10"/>
  <c r="G89" i="10" s="1"/>
  <c r="E90" i="10"/>
  <c r="E91" i="10"/>
  <c r="E92" i="10"/>
  <c r="E93" i="10"/>
  <c r="G93" i="10" s="1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G105" i="10" s="1"/>
  <c r="E106" i="10"/>
  <c r="E107" i="10"/>
  <c r="E108" i="10"/>
  <c r="E109" i="10"/>
  <c r="G109" i="10" s="1"/>
  <c r="E110" i="10"/>
  <c r="E111" i="10"/>
  <c r="E112" i="10"/>
  <c r="E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88" i="10"/>
  <c r="G108" i="10"/>
  <c r="G103" i="10"/>
  <c r="G101" i="10"/>
  <c r="G97" i="10"/>
  <c r="G95" i="10"/>
  <c r="G60" i="10"/>
  <c r="F61" i="10"/>
  <c r="F62" i="10"/>
  <c r="F63" i="10"/>
  <c r="F64" i="10"/>
  <c r="F65" i="10"/>
  <c r="G65" i="10" s="1"/>
  <c r="F66" i="10"/>
  <c r="F67" i="10"/>
  <c r="F68" i="10"/>
  <c r="F69" i="10"/>
  <c r="G69" i="10" s="1"/>
  <c r="F70" i="10"/>
  <c r="F71" i="10"/>
  <c r="F72" i="10"/>
  <c r="F73" i="10"/>
  <c r="F74" i="10"/>
  <c r="F75" i="10"/>
  <c r="F76" i="10"/>
  <c r="F77" i="10"/>
  <c r="F78" i="10"/>
  <c r="F79" i="10"/>
  <c r="F80" i="10"/>
  <c r="F81" i="10"/>
  <c r="G81" i="10" s="1"/>
  <c r="F82" i="10"/>
  <c r="F83" i="10"/>
  <c r="F84" i="10"/>
  <c r="F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60" i="10"/>
  <c r="D61" i="10"/>
  <c r="D62" i="10"/>
  <c r="D63" i="10"/>
  <c r="G63" i="10" s="1"/>
  <c r="D64" i="10"/>
  <c r="D65" i="10"/>
  <c r="D66" i="10"/>
  <c r="D67" i="10"/>
  <c r="G67" i="10" s="1"/>
  <c r="D68" i="10"/>
  <c r="D69" i="10"/>
  <c r="D70" i="10"/>
  <c r="D71" i="10"/>
  <c r="G71" i="10" s="1"/>
  <c r="D72" i="10"/>
  <c r="D73" i="10"/>
  <c r="D74" i="10"/>
  <c r="D75" i="10"/>
  <c r="G75" i="10" s="1"/>
  <c r="D76" i="10"/>
  <c r="D77" i="10"/>
  <c r="D78" i="10"/>
  <c r="D79" i="10"/>
  <c r="G79" i="10" s="1"/>
  <c r="D80" i="10"/>
  <c r="D81" i="10"/>
  <c r="D82" i="10"/>
  <c r="D83" i="10"/>
  <c r="G83" i="10" s="1"/>
  <c r="D84" i="10"/>
  <c r="D60" i="10"/>
  <c r="G77" i="10"/>
  <c r="G73" i="10"/>
  <c r="G61" i="10"/>
  <c r="E33" i="10"/>
  <c r="F33" i="10" s="1"/>
  <c r="G33" i="10" s="1"/>
  <c r="E34" i="10"/>
  <c r="F34" i="10" s="1"/>
  <c r="E35" i="10"/>
  <c r="E36" i="10"/>
  <c r="E37" i="10"/>
  <c r="F37" i="10" s="1"/>
  <c r="E38" i="10"/>
  <c r="F38" i="10" s="1"/>
  <c r="E39" i="10"/>
  <c r="E40" i="10"/>
  <c r="E41" i="10"/>
  <c r="F41" i="10" s="1"/>
  <c r="E42" i="10"/>
  <c r="F42" i="10" s="1"/>
  <c r="E43" i="10"/>
  <c r="E44" i="10"/>
  <c r="E45" i="10"/>
  <c r="F45" i="10" s="1"/>
  <c r="E46" i="10"/>
  <c r="F46" i="10" s="1"/>
  <c r="E47" i="10"/>
  <c r="E48" i="10"/>
  <c r="E49" i="10"/>
  <c r="F49" i="10" s="1"/>
  <c r="E50" i="10"/>
  <c r="F50" i="10" s="1"/>
  <c r="E51" i="10"/>
  <c r="E52" i="10"/>
  <c r="E53" i="10"/>
  <c r="F53" i="10" s="1"/>
  <c r="E54" i="10"/>
  <c r="F54" i="10" s="1"/>
  <c r="E55" i="10"/>
  <c r="E56" i="10"/>
  <c r="E32" i="10"/>
  <c r="F35" i="10"/>
  <c r="F36" i="10"/>
  <c r="F39" i="10"/>
  <c r="F40" i="10"/>
  <c r="F43" i="10"/>
  <c r="F44" i="10"/>
  <c r="F47" i="10"/>
  <c r="F48" i="10"/>
  <c r="F51" i="10"/>
  <c r="F52" i="10"/>
  <c r="F55" i="10"/>
  <c r="F56" i="10"/>
  <c r="F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32" i="10"/>
  <c r="G144" i="13" l="1"/>
  <c r="I144" i="13"/>
  <c r="H112" i="13"/>
  <c r="M29" i="10"/>
  <c r="G111" i="10"/>
  <c r="G112" i="10"/>
  <c r="G100" i="10"/>
  <c r="G88" i="10"/>
  <c r="G110" i="10"/>
  <c r="G106" i="10"/>
  <c r="G102" i="10"/>
  <c r="G98" i="10"/>
  <c r="G94" i="10"/>
  <c r="G90" i="10"/>
  <c r="G82" i="10"/>
  <c r="G78" i="10"/>
  <c r="G74" i="10"/>
  <c r="G70" i="10"/>
  <c r="G66" i="10"/>
  <c r="G62" i="10"/>
  <c r="G84" i="10"/>
  <c r="G80" i="10"/>
  <c r="G76" i="10"/>
  <c r="G72" i="10"/>
  <c r="G68" i="10"/>
  <c r="G64" i="10"/>
  <c r="G46" i="10"/>
  <c r="G34" i="10"/>
  <c r="G50" i="10"/>
  <c r="G32" i="10"/>
  <c r="G38" i="10"/>
  <c r="G42" i="10"/>
  <c r="G54" i="10"/>
  <c r="G37" i="10"/>
  <c r="G41" i="10"/>
  <c r="G45" i="10"/>
  <c r="G49" i="10"/>
  <c r="G53" i="10"/>
  <c r="G36" i="10"/>
  <c r="G40" i="10"/>
  <c r="G44" i="10"/>
  <c r="G48" i="10"/>
  <c r="G52" i="10"/>
  <c r="G56" i="10"/>
  <c r="G35" i="10"/>
  <c r="G39" i="10"/>
  <c r="G43" i="10"/>
  <c r="G47" i="10"/>
  <c r="G51" i="10"/>
  <c r="G55" i="10"/>
  <c r="H6" i="14" l="1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5" i="14"/>
  <c r="G6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5" i="14"/>
  <c r="E41" i="5" l="1"/>
  <c r="E40" i="5"/>
  <c r="D33" i="4" l="1"/>
  <c r="F29" i="14"/>
  <c r="D29" i="14"/>
  <c r="F28" i="14"/>
  <c r="D28" i="14"/>
  <c r="F27" i="14"/>
  <c r="D27" i="14"/>
  <c r="F26" i="14"/>
  <c r="D26" i="14"/>
  <c r="F25" i="14"/>
  <c r="D25" i="14"/>
  <c r="F24" i="14"/>
  <c r="D24" i="14"/>
  <c r="F23" i="14"/>
  <c r="D23" i="14"/>
  <c r="F22" i="14"/>
  <c r="D22" i="14"/>
  <c r="F21" i="14"/>
  <c r="D21" i="14"/>
  <c r="F20" i="14"/>
  <c r="D20" i="14"/>
  <c r="F19" i="14"/>
  <c r="D19" i="14"/>
  <c r="F18" i="14"/>
  <c r="D18" i="14"/>
  <c r="F17" i="14"/>
  <c r="D17" i="14"/>
  <c r="F16" i="14"/>
  <c r="D16" i="14"/>
  <c r="F15" i="14"/>
  <c r="D15" i="14"/>
  <c r="F14" i="14"/>
  <c r="D14" i="14"/>
  <c r="F13" i="14"/>
  <c r="D13" i="14"/>
  <c r="F12" i="14"/>
  <c r="D12" i="14"/>
  <c r="F11" i="14"/>
  <c r="D11" i="14"/>
  <c r="F10" i="14"/>
  <c r="D10" i="14"/>
  <c r="F9" i="14"/>
  <c r="F8" i="14"/>
  <c r="F7" i="14"/>
  <c r="F6" i="14"/>
  <c r="D6" i="14"/>
  <c r="F5" i="14"/>
  <c r="F30" i="14" s="1"/>
  <c r="D5" i="14"/>
  <c r="L4" i="14"/>
  <c r="D8" i="14" s="1"/>
  <c r="G8" i="14" l="1"/>
  <c r="H8" i="14"/>
  <c r="D7" i="14"/>
  <c r="D9" i="14"/>
  <c r="D30" i="14"/>
  <c r="H9" i="14" l="1"/>
  <c r="G9" i="14"/>
  <c r="H7" i="14"/>
  <c r="H30" i="14" s="1"/>
  <c r="G7" i="14"/>
  <c r="G30" i="14" s="1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D5" i="10" l="1"/>
  <c r="E5" i="10"/>
  <c r="D9" i="10"/>
  <c r="E9" i="10"/>
  <c r="D13" i="10"/>
  <c r="E13" i="10"/>
  <c r="D17" i="10"/>
  <c r="E17" i="10"/>
  <c r="D21" i="10"/>
  <c r="E21" i="10"/>
  <c r="E25" i="10"/>
  <c r="D25" i="10"/>
  <c r="E6" i="10"/>
  <c r="D6" i="10"/>
  <c r="D10" i="10"/>
  <c r="E10" i="10"/>
  <c r="E14" i="10"/>
  <c r="D14" i="10"/>
  <c r="D18" i="10"/>
  <c r="E18" i="10"/>
  <c r="E22" i="10"/>
  <c r="D22" i="10"/>
  <c r="E26" i="10"/>
  <c r="D26" i="10"/>
  <c r="E7" i="10"/>
  <c r="D7" i="10"/>
  <c r="E11" i="10"/>
  <c r="D11" i="10"/>
  <c r="E15" i="10"/>
  <c r="D15" i="10"/>
  <c r="E19" i="10"/>
  <c r="D19" i="10"/>
  <c r="E23" i="10"/>
  <c r="D23" i="10"/>
  <c r="E27" i="10"/>
  <c r="D27" i="10"/>
  <c r="D4" i="10"/>
  <c r="E4" i="10"/>
  <c r="D8" i="10"/>
  <c r="E8" i="10"/>
  <c r="D12" i="10"/>
  <c r="E12" i="10"/>
  <c r="D16" i="10"/>
  <c r="E16" i="10"/>
  <c r="D20" i="10"/>
  <c r="E20" i="10"/>
  <c r="D24" i="10"/>
  <c r="E24" i="10"/>
  <c r="D28" i="10"/>
  <c r="E28" i="10"/>
  <c r="G23" i="10" l="1"/>
  <c r="H23" i="10" s="1"/>
  <c r="J23" i="10" s="1"/>
  <c r="N23" i="10" s="1"/>
  <c r="G4" i="10"/>
  <c r="H4" i="10" s="1"/>
  <c r="J4" i="10" s="1"/>
  <c r="G15" i="10"/>
  <c r="H15" i="10" s="1"/>
  <c r="J15" i="10" s="1"/>
  <c r="N15" i="10" s="1"/>
  <c r="G24" i="10"/>
  <c r="H24" i="10" s="1"/>
  <c r="J24" i="10" s="1"/>
  <c r="N24" i="10" s="1"/>
  <c r="G16" i="10"/>
  <c r="H16" i="10" s="1"/>
  <c r="J16" i="10" s="1"/>
  <c r="N16" i="10" s="1"/>
  <c r="G8" i="10"/>
  <c r="H8" i="10" s="1"/>
  <c r="J8" i="10" s="1"/>
  <c r="N8" i="10" s="1"/>
  <c r="G28" i="10"/>
  <c r="H28" i="10" s="1"/>
  <c r="J28" i="10" s="1"/>
  <c r="N28" i="10" s="1"/>
  <c r="G20" i="10"/>
  <c r="H20" i="10" s="1"/>
  <c r="J20" i="10" s="1"/>
  <c r="N20" i="10" s="1"/>
  <c r="G12" i="10"/>
  <c r="H12" i="10" s="1"/>
  <c r="J12" i="10" s="1"/>
  <c r="N12" i="10" s="1"/>
  <c r="G26" i="10"/>
  <c r="H26" i="10" s="1"/>
  <c r="J26" i="10" s="1"/>
  <c r="N26" i="10" s="1"/>
  <c r="G18" i="10"/>
  <c r="H18" i="10" s="1"/>
  <c r="J18" i="10" s="1"/>
  <c r="N18" i="10" s="1"/>
  <c r="G10" i="10"/>
  <c r="H10" i="10" s="1"/>
  <c r="J10" i="10" s="1"/>
  <c r="N10" i="10" s="1"/>
  <c r="G27" i="10"/>
  <c r="H27" i="10" s="1"/>
  <c r="J27" i="10" s="1"/>
  <c r="N27" i="10" s="1"/>
  <c r="G25" i="10"/>
  <c r="H25" i="10" s="1"/>
  <c r="J25" i="10" s="1"/>
  <c r="N25" i="10" s="1"/>
  <c r="G17" i="10"/>
  <c r="H17" i="10" s="1"/>
  <c r="J17" i="10" s="1"/>
  <c r="N17" i="10" s="1"/>
  <c r="G9" i="10"/>
  <c r="H9" i="10" s="1"/>
  <c r="J9" i="10" s="1"/>
  <c r="N9" i="10" s="1"/>
  <c r="G19" i="10"/>
  <c r="H19" i="10" s="1"/>
  <c r="J19" i="10" s="1"/>
  <c r="N19" i="10" s="1"/>
  <c r="G22" i="10"/>
  <c r="H22" i="10" s="1"/>
  <c r="J22" i="10" s="1"/>
  <c r="N22" i="10" s="1"/>
  <c r="G14" i="10"/>
  <c r="H14" i="10" s="1"/>
  <c r="J14" i="10" s="1"/>
  <c r="N14" i="10" s="1"/>
  <c r="G6" i="10"/>
  <c r="H6" i="10" s="1"/>
  <c r="J6" i="10" s="1"/>
  <c r="N6" i="10" s="1"/>
  <c r="G11" i="10"/>
  <c r="H11" i="10" s="1"/>
  <c r="J11" i="10" s="1"/>
  <c r="N11" i="10" s="1"/>
  <c r="G21" i="10"/>
  <c r="H21" i="10" s="1"/>
  <c r="J21" i="10" s="1"/>
  <c r="N21" i="10" s="1"/>
  <c r="G13" i="10"/>
  <c r="G5" i="10"/>
  <c r="H5" i="10" s="1"/>
  <c r="J5" i="10" s="1"/>
  <c r="N5" i="10" s="1"/>
  <c r="G7" i="10"/>
  <c r="H7" i="10" s="1"/>
  <c r="J7" i="10" s="1"/>
  <c r="N7" i="10" s="1"/>
  <c r="N4" i="10" l="1"/>
  <c r="H13" i="10"/>
  <c r="J13" i="10" s="1"/>
  <c r="N13" i="10" s="1"/>
  <c r="J29" i="10" l="1"/>
  <c r="N29" i="10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B27" i="8"/>
  <c r="C80" i="13" s="1"/>
  <c r="B26" i="8"/>
  <c r="C79" i="13" s="1"/>
  <c r="B25" i="8"/>
  <c r="C78" i="13" s="1"/>
  <c r="B24" i="8"/>
  <c r="C77" i="13" s="1"/>
  <c r="B23" i="8"/>
  <c r="C76" i="13" s="1"/>
  <c r="B22" i="8"/>
  <c r="C75" i="13" s="1"/>
  <c r="B21" i="8"/>
  <c r="C74" i="13" s="1"/>
  <c r="B20" i="8"/>
  <c r="C73" i="13" s="1"/>
  <c r="B19" i="8"/>
  <c r="C72" i="13" s="1"/>
  <c r="B18" i="8"/>
  <c r="C71" i="13" s="1"/>
  <c r="B17" i="8"/>
  <c r="C70" i="13" s="1"/>
  <c r="B16" i="8"/>
  <c r="C69" i="13" s="1"/>
  <c r="B15" i="8"/>
  <c r="C68" i="13" s="1"/>
  <c r="B14" i="8"/>
  <c r="C67" i="13" s="1"/>
  <c r="B13" i="8"/>
  <c r="C66" i="13" s="1"/>
  <c r="B12" i="8"/>
  <c r="C65" i="13" s="1"/>
  <c r="B11" i="8"/>
  <c r="C64" i="13" s="1"/>
  <c r="B10" i="8"/>
  <c r="C63" i="13" s="1"/>
  <c r="B9" i="8"/>
  <c r="C62" i="13" s="1"/>
  <c r="B8" i="8"/>
  <c r="C61" i="13" s="1"/>
  <c r="B7" i="8"/>
  <c r="C60" i="13" s="1"/>
  <c r="B6" i="8"/>
  <c r="C59" i="13" s="1"/>
  <c r="B5" i="8"/>
  <c r="C58" i="13" s="1"/>
  <c r="B4" i="8"/>
  <c r="C57" i="13" s="1"/>
  <c r="B3" i="8"/>
  <c r="F28" i="4"/>
  <c r="D28" i="4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G8" i="4" s="1"/>
  <c r="F7" i="4"/>
  <c r="G7" i="4" s="1"/>
  <c r="F6" i="4"/>
  <c r="G6" i="4" s="1"/>
  <c r="F5" i="4"/>
  <c r="G5" i="4" s="1"/>
  <c r="D5" i="4"/>
  <c r="F4" i="4"/>
  <c r="G4" i="4" s="1"/>
  <c r="D4" i="4"/>
  <c r="B28" i="8" l="1"/>
  <c r="C81" i="13" s="1"/>
  <c r="C56" i="13"/>
  <c r="H5" i="4"/>
  <c r="I5" i="4"/>
  <c r="I4" i="4"/>
  <c r="H4" i="4"/>
  <c r="I8" i="4"/>
  <c r="H8" i="4"/>
  <c r="G10" i="4"/>
  <c r="G12" i="4"/>
  <c r="G14" i="4"/>
  <c r="G16" i="4"/>
  <c r="G18" i="4"/>
  <c r="G20" i="4"/>
  <c r="G22" i="4"/>
  <c r="G24" i="4"/>
  <c r="G26" i="4"/>
  <c r="G28" i="4"/>
  <c r="H6" i="4"/>
  <c r="I6" i="4"/>
  <c r="G9" i="4"/>
  <c r="G11" i="4"/>
  <c r="G13" i="4"/>
  <c r="G15" i="4"/>
  <c r="G17" i="4"/>
  <c r="G19" i="4"/>
  <c r="G21" i="4"/>
  <c r="G23" i="4"/>
  <c r="G25" i="4"/>
  <c r="G27" i="4"/>
  <c r="I7" i="4"/>
  <c r="H7" i="4"/>
  <c r="P29" i="10"/>
  <c r="E3" i="9"/>
  <c r="F3" i="9"/>
  <c r="E7" i="9"/>
  <c r="F7" i="9"/>
  <c r="F11" i="9"/>
  <c r="E11" i="9"/>
  <c r="E15" i="9"/>
  <c r="F15" i="9"/>
  <c r="F19" i="9"/>
  <c r="E19" i="9"/>
  <c r="E23" i="9"/>
  <c r="F23" i="9"/>
  <c r="F27" i="9"/>
  <c r="E27" i="9"/>
  <c r="E4" i="9"/>
  <c r="F4" i="9"/>
  <c r="E8" i="9"/>
  <c r="F8" i="9"/>
  <c r="E12" i="9"/>
  <c r="F12" i="9"/>
  <c r="E16" i="9"/>
  <c r="F16" i="9"/>
  <c r="E20" i="9"/>
  <c r="F20" i="9"/>
  <c r="E24" i="9"/>
  <c r="F24" i="9"/>
  <c r="E5" i="9"/>
  <c r="F5" i="9"/>
  <c r="E9" i="9"/>
  <c r="F9" i="9"/>
  <c r="E13" i="9"/>
  <c r="F13" i="9"/>
  <c r="E17" i="9"/>
  <c r="F17" i="9"/>
  <c r="E21" i="9"/>
  <c r="F21" i="9"/>
  <c r="E25" i="9"/>
  <c r="F25" i="9"/>
  <c r="E6" i="9"/>
  <c r="F6" i="9"/>
  <c r="E10" i="9"/>
  <c r="F10" i="9"/>
  <c r="E14" i="9"/>
  <c r="F14" i="9"/>
  <c r="E18" i="9"/>
  <c r="F18" i="9"/>
  <c r="E22" i="9"/>
  <c r="F22" i="9"/>
  <c r="E26" i="9"/>
  <c r="F26" i="9"/>
  <c r="O29" i="10"/>
  <c r="F29" i="4"/>
  <c r="H6" i="3"/>
  <c r="H5" i="3"/>
  <c r="G6" i="3"/>
  <c r="F5" i="3"/>
  <c r="G5" i="3" s="1"/>
  <c r="G12" i="3" s="1"/>
  <c r="F6" i="3"/>
  <c r="F7" i="3"/>
  <c r="G7" i="3" s="1"/>
  <c r="C6" i="3"/>
  <c r="H7" i="3" s="1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5" i="5"/>
  <c r="B4" i="5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I25" i="4" l="1"/>
  <c r="H25" i="4"/>
  <c r="I17" i="4"/>
  <c r="H17" i="4"/>
  <c r="I9" i="4"/>
  <c r="H9" i="4"/>
  <c r="H20" i="4"/>
  <c r="I20" i="4"/>
  <c r="H12" i="4"/>
  <c r="I12" i="4"/>
  <c r="H23" i="4"/>
  <c r="I23" i="4"/>
  <c r="H15" i="4"/>
  <c r="I15" i="4"/>
  <c r="H26" i="4"/>
  <c r="I26" i="4"/>
  <c r="H18" i="4"/>
  <c r="I18" i="4"/>
  <c r="I10" i="4"/>
  <c r="H10" i="4"/>
  <c r="I21" i="4"/>
  <c r="H21" i="4"/>
  <c r="I13" i="4"/>
  <c r="H13" i="4"/>
  <c r="I24" i="4"/>
  <c r="H24" i="4"/>
  <c r="I16" i="4"/>
  <c r="H16" i="4"/>
  <c r="H27" i="4"/>
  <c r="I27" i="4"/>
  <c r="H19" i="4"/>
  <c r="I19" i="4"/>
  <c r="H11" i="4"/>
  <c r="I11" i="4"/>
  <c r="I22" i="4"/>
  <c r="H22" i="4"/>
  <c r="H14" i="4"/>
  <c r="I14" i="4"/>
  <c r="I29" i="4"/>
  <c r="H28" i="4"/>
  <c r="I28" i="4"/>
  <c r="G14" i="9"/>
  <c r="H14" i="9" s="1"/>
  <c r="I14" i="9" s="1"/>
  <c r="G21" i="9"/>
  <c r="H21" i="9" s="1"/>
  <c r="I21" i="9" s="1"/>
  <c r="G13" i="9"/>
  <c r="H13" i="9" s="1"/>
  <c r="I13" i="9" s="1"/>
  <c r="G5" i="9"/>
  <c r="H5" i="9" s="1"/>
  <c r="I5" i="9" s="1"/>
  <c r="G4" i="9"/>
  <c r="H4" i="9" s="1"/>
  <c r="I4" i="9" s="1"/>
  <c r="G23" i="9"/>
  <c r="H23" i="9" s="1"/>
  <c r="I23" i="9" s="1"/>
  <c r="G15" i="9"/>
  <c r="H15" i="9" s="1"/>
  <c r="I15" i="9" s="1"/>
  <c r="G7" i="9"/>
  <c r="G26" i="9"/>
  <c r="H26" i="9" s="1"/>
  <c r="I26" i="9" s="1"/>
  <c r="G17" i="9"/>
  <c r="H17" i="9" s="1"/>
  <c r="I17" i="9" s="1"/>
  <c r="G12" i="9"/>
  <c r="H12" i="9" s="1"/>
  <c r="I12" i="9" s="1"/>
  <c r="G10" i="9"/>
  <c r="H10" i="9" s="1"/>
  <c r="I10" i="9" s="1"/>
  <c r="G8" i="9"/>
  <c r="H8" i="9" s="1"/>
  <c r="I8" i="9" s="1"/>
  <c r="G19" i="9"/>
  <c r="H19" i="9" s="1"/>
  <c r="I19" i="9" s="1"/>
  <c r="G3" i="9"/>
  <c r="H3" i="9" s="1"/>
  <c r="I3" i="9" s="1"/>
  <c r="G25" i="9"/>
  <c r="H25" i="9" s="1"/>
  <c r="I25" i="9" s="1"/>
  <c r="G9" i="9"/>
  <c r="H9" i="9" s="1"/>
  <c r="I9" i="9" s="1"/>
  <c r="D25" i="1"/>
  <c r="E25" i="1"/>
  <c r="D21" i="1"/>
  <c r="E21" i="1"/>
  <c r="D17" i="1"/>
  <c r="E17" i="1"/>
  <c r="E13" i="1"/>
  <c r="D13" i="1"/>
  <c r="D9" i="1"/>
  <c r="E9" i="1"/>
  <c r="D5" i="1"/>
  <c r="E5" i="1"/>
  <c r="D28" i="1"/>
  <c r="E28" i="1"/>
  <c r="E24" i="1"/>
  <c r="D24" i="1"/>
  <c r="D20" i="1"/>
  <c r="E20" i="1"/>
  <c r="D16" i="1"/>
  <c r="E16" i="1"/>
  <c r="D12" i="1"/>
  <c r="E12" i="1"/>
  <c r="E8" i="1"/>
  <c r="D8" i="1"/>
  <c r="E4" i="1"/>
  <c r="D4" i="1"/>
  <c r="E27" i="1"/>
  <c r="D27" i="1"/>
  <c r="E23" i="1"/>
  <c r="D23" i="1"/>
  <c r="E19" i="1"/>
  <c r="D19" i="1"/>
  <c r="E15" i="1"/>
  <c r="D15" i="1"/>
  <c r="E11" i="1"/>
  <c r="D11" i="1"/>
  <c r="E7" i="1"/>
  <c r="D7" i="1"/>
  <c r="D26" i="1"/>
  <c r="E26" i="1"/>
  <c r="D22" i="1"/>
  <c r="E22" i="1"/>
  <c r="D18" i="1"/>
  <c r="E18" i="1"/>
  <c r="D14" i="1"/>
  <c r="E14" i="1"/>
  <c r="D10" i="1"/>
  <c r="E10" i="1"/>
  <c r="D6" i="1"/>
  <c r="E6" i="1"/>
  <c r="H7" i="9"/>
  <c r="I7" i="9" s="1"/>
  <c r="G11" i="9"/>
  <c r="G24" i="9"/>
  <c r="G22" i="9"/>
  <c r="G20" i="9"/>
  <c r="G18" i="9"/>
  <c r="G6" i="9"/>
  <c r="G16" i="9"/>
  <c r="G27" i="9"/>
  <c r="E38" i="5"/>
  <c r="C21" i="5" s="1"/>
  <c r="E32" i="8"/>
  <c r="D29" i="4"/>
  <c r="F14" i="1" l="1"/>
  <c r="G14" i="1" s="1"/>
  <c r="H14" i="1" s="1"/>
  <c r="I14" i="1" s="1"/>
  <c r="C12" i="5"/>
  <c r="D12" i="5" s="1"/>
  <c r="F6" i="1"/>
  <c r="G6" i="1" s="1"/>
  <c r="H6" i="1" s="1"/>
  <c r="I6" i="1" s="1"/>
  <c r="C6" i="5"/>
  <c r="D6" i="5" s="1"/>
  <c r="C18" i="5"/>
  <c r="E18" i="5" s="1"/>
  <c r="C24" i="5"/>
  <c r="D24" i="5" s="1"/>
  <c r="C26" i="5"/>
  <c r="E26" i="5" s="1"/>
  <c r="K5" i="9"/>
  <c r="J5" i="9"/>
  <c r="K26" i="9"/>
  <c r="J26" i="9"/>
  <c r="K13" i="9"/>
  <c r="J13" i="9"/>
  <c r="K14" i="9"/>
  <c r="J14" i="9"/>
  <c r="J15" i="9"/>
  <c r="K15" i="9"/>
  <c r="K10" i="9"/>
  <c r="J10" i="9"/>
  <c r="K17" i="9"/>
  <c r="J17" i="9"/>
  <c r="K25" i="9"/>
  <c r="J25" i="9"/>
  <c r="K4" i="9"/>
  <c r="J4" i="9"/>
  <c r="K8" i="9"/>
  <c r="J8" i="9"/>
  <c r="J19" i="9"/>
  <c r="K19" i="9"/>
  <c r="K9" i="9"/>
  <c r="J9" i="9"/>
  <c r="K3" i="9"/>
  <c r="J3" i="9"/>
  <c r="K12" i="9"/>
  <c r="J12" i="9"/>
  <c r="J23" i="9"/>
  <c r="K23" i="9"/>
  <c r="J7" i="9"/>
  <c r="K7" i="9"/>
  <c r="K21" i="9"/>
  <c r="J21" i="9"/>
  <c r="C25" i="5"/>
  <c r="C11" i="5"/>
  <c r="C5" i="5"/>
  <c r="C22" i="5"/>
  <c r="C16" i="5"/>
  <c r="C20" i="5"/>
  <c r="D21" i="5"/>
  <c r="E21" i="5"/>
  <c r="C10" i="5"/>
  <c r="C8" i="5"/>
  <c r="C28" i="5"/>
  <c r="C7" i="5"/>
  <c r="H29" i="4"/>
  <c r="G29" i="4"/>
  <c r="H6" i="9"/>
  <c r="I6" i="9" s="1"/>
  <c r="H24" i="9"/>
  <c r="I24" i="9" s="1"/>
  <c r="H18" i="9"/>
  <c r="I18" i="9" s="1"/>
  <c r="H11" i="9"/>
  <c r="I11" i="9" s="1"/>
  <c r="H27" i="9"/>
  <c r="I27" i="9" s="1"/>
  <c r="H20" i="9"/>
  <c r="I20" i="9" s="1"/>
  <c r="H16" i="9"/>
  <c r="I16" i="9" s="1"/>
  <c r="H22" i="9"/>
  <c r="I22" i="9" s="1"/>
  <c r="C23" i="5"/>
  <c r="C14" i="5"/>
  <c r="C13" i="5"/>
  <c r="C17" i="5"/>
  <c r="C9" i="5"/>
  <c r="C4" i="5"/>
  <c r="C27" i="5"/>
  <c r="C19" i="5"/>
  <c r="C9" i="8"/>
  <c r="D62" i="13" s="1"/>
  <c r="C13" i="8"/>
  <c r="D66" i="13" s="1"/>
  <c r="C7" i="8"/>
  <c r="D60" i="13" s="1"/>
  <c r="C19" i="8"/>
  <c r="D72" i="13" s="1"/>
  <c r="C26" i="8"/>
  <c r="D79" i="13" s="1"/>
  <c r="C5" i="8"/>
  <c r="D58" i="13" s="1"/>
  <c r="C10" i="8"/>
  <c r="D63" i="13" s="1"/>
  <c r="C16" i="8"/>
  <c r="D69" i="13" s="1"/>
  <c r="C17" i="8"/>
  <c r="D70" i="13" s="1"/>
  <c r="C4" i="8"/>
  <c r="D57" i="13" s="1"/>
  <c r="C23" i="8"/>
  <c r="D76" i="13" s="1"/>
  <c r="C12" i="8"/>
  <c r="D65" i="13" s="1"/>
  <c r="C14" i="8"/>
  <c r="D67" i="13" s="1"/>
  <c r="C20" i="8"/>
  <c r="D73" i="13" s="1"/>
  <c r="C25" i="8"/>
  <c r="D78" i="13" s="1"/>
  <c r="C8" i="8"/>
  <c r="D61" i="13" s="1"/>
  <c r="C27" i="8"/>
  <c r="D80" i="13" s="1"/>
  <c r="C15" i="8"/>
  <c r="D68" i="13" s="1"/>
  <c r="C18" i="8"/>
  <c r="D71" i="13" s="1"/>
  <c r="C24" i="8"/>
  <c r="D77" i="13" s="1"/>
  <c r="C3" i="8"/>
  <c r="C11" i="8"/>
  <c r="D64" i="13" s="1"/>
  <c r="C21" i="8"/>
  <c r="D74" i="13" s="1"/>
  <c r="C6" i="8"/>
  <c r="D59" i="13" s="1"/>
  <c r="C22" i="8"/>
  <c r="D75" i="13" s="1"/>
  <c r="C15" i="5"/>
  <c r="F18" i="1"/>
  <c r="F22" i="1"/>
  <c r="F26" i="1"/>
  <c r="F10" i="1"/>
  <c r="F5" i="1"/>
  <c r="F9" i="1"/>
  <c r="F21" i="1"/>
  <c r="F15" i="1"/>
  <c r="F8" i="1"/>
  <c r="F24" i="1"/>
  <c r="F25" i="1"/>
  <c r="F4" i="1"/>
  <c r="F17" i="1"/>
  <c r="F7" i="1"/>
  <c r="F13" i="1"/>
  <c r="F19" i="1"/>
  <c r="F12" i="1"/>
  <c r="F28" i="1"/>
  <c r="F23" i="1"/>
  <c r="F16" i="1"/>
  <c r="F11" i="1"/>
  <c r="F27" i="1"/>
  <c r="F20" i="1"/>
  <c r="D56" i="13" l="1"/>
  <c r="C28" i="8"/>
  <c r="D81" i="13" s="1"/>
  <c r="E6" i="5"/>
  <c r="E12" i="5"/>
  <c r="F12" i="5" s="1"/>
  <c r="G12" i="5" s="1"/>
  <c r="H12" i="5" s="1"/>
  <c r="E24" i="5"/>
  <c r="D18" i="5"/>
  <c r="D26" i="5"/>
  <c r="K20" i="9"/>
  <c r="J20" i="9"/>
  <c r="K22" i="9"/>
  <c r="J22" i="9"/>
  <c r="J27" i="9"/>
  <c r="K27" i="9"/>
  <c r="K6" i="9"/>
  <c r="J6" i="9"/>
  <c r="K16" i="9"/>
  <c r="J16" i="9"/>
  <c r="J11" i="9"/>
  <c r="K11" i="9"/>
  <c r="K18" i="9"/>
  <c r="J18" i="9"/>
  <c r="K24" i="9"/>
  <c r="J24" i="9"/>
  <c r="D27" i="5"/>
  <c r="E27" i="5"/>
  <c r="D13" i="5"/>
  <c r="E13" i="5"/>
  <c r="D8" i="5"/>
  <c r="E8" i="5"/>
  <c r="D20" i="5"/>
  <c r="E20" i="5"/>
  <c r="D11" i="5"/>
  <c r="E11" i="5"/>
  <c r="E4" i="5"/>
  <c r="D4" i="5"/>
  <c r="D14" i="5"/>
  <c r="E14" i="5"/>
  <c r="D10" i="5"/>
  <c r="E10" i="5"/>
  <c r="F24" i="5"/>
  <c r="G24" i="5" s="1"/>
  <c r="H24" i="5" s="1"/>
  <c r="D16" i="5"/>
  <c r="E16" i="5"/>
  <c r="D25" i="5"/>
  <c r="E25" i="5"/>
  <c r="F18" i="5"/>
  <c r="G18" i="5" s="1"/>
  <c r="H18" i="5" s="1"/>
  <c r="D19" i="5"/>
  <c r="E19" i="5"/>
  <c r="D9" i="5"/>
  <c r="E9" i="5"/>
  <c r="D23" i="5"/>
  <c r="E23" i="5"/>
  <c r="D7" i="5"/>
  <c r="E7" i="5"/>
  <c r="D22" i="5"/>
  <c r="E22" i="5"/>
  <c r="D15" i="5"/>
  <c r="E15" i="5"/>
  <c r="D17" i="5"/>
  <c r="E17" i="5"/>
  <c r="D28" i="5"/>
  <c r="E28" i="5"/>
  <c r="F21" i="5"/>
  <c r="G21" i="5" s="1"/>
  <c r="H21" i="5" s="1"/>
  <c r="F26" i="5"/>
  <c r="G26" i="5" s="1"/>
  <c r="H26" i="5" s="1"/>
  <c r="D5" i="5"/>
  <c r="E5" i="5"/>
  <c r="F6" i="5"/>
  <c r="G6" i="5" s="1"/>
  <c r="H6" i="5" s="1"/>
  <c r="D22" i="8"/>
  <c r="E75" i="13" s="1"/>
  <c r="E22" i="8"/>
  <c r="F75" i="13" s="1"/>
  <c r="E14" i="8"/>
  <c r="F67" i="13" s="1"/>
  <c r="D14" i="8"/>
  <c r="E67" i="13" s="1"/>
  <c r="D26" i="8"/>
  <c r="E79" i="13" s="1"/>
  <c r="E26" i="8"/>
  <c r="F79" i="13" s="1"/>
  <c r="D8" i="8"/>
  <c r="E61" i="13" s="1"/>
  <c r="E8" i="8"/>
  <c r="F61" i="13" s="1"/>
  <c r="D16" i="8"/>
  <c r="E69" i="13" s="1"/>
  <c r="E16" i="8"/>
  <c r="F69" i="13" s="1"/>
  <c r="E25" i="8"/>
  <c r="F78" i="13" s="1"/>
  <c r="D25" i="8"/>
  <c r="E78" i="13" s="1"/>
  <c r="E11" i="8"/>
  <c r="F64" i="13" s="1"/>
  <c r="D11" i="8"/>
  <c r="E64" i="13" s="1"/>
  <c r="E15" i="8"/>
  <c r="F68" i="13" s="1"/>
  <c r="D15" i="8"/>
  <c r="E68" i="13" s="1"/>
  <c r="E20" i="8"/>
  <c r="F73" i="13" s="1"/>
  <c r="D20" i="8"/>
  <c r="E73" i="13" s="1"/>
  <c r="D4" i="8"/>
  <c r="E57" i="13" s="1"/>
  <c r="E4" i="8"/>
  <c r="F57" i="13" s="1"/>
  <c r="E5" i="8"/>
  <c r="F58" i="13" s="1"/>
  <c r="D5" i="8"/>
  <c r="E58" i="13" s="1"/>
  <c r="E13" i="8"/>
  <c r="F66" i="13" s="1"/>
  <c r="D13" i="8"/>
  <c r="E66" i="13" s="1"/>
  <c r="D3" i="8"/>
  <c r="E3" i="8"/>
  <c r="E27" i="8"/>
  <c r="F80" i="13" s="1"/>
  <c r="D27" i="8"/>
  <c r="E80" i="13" s="1"/>
  <c r="E17" i="8"/>
  <c r="F70" i="13" s="1"/>
  <c r="D17" i="8"/>
  <c r="E70" i="13" s="1"/>
  <c r="E9" i="8"/>
  <c r="F62" i="13" s="1"/>
  <c r="D9" i="8"/>
  <c r="E62" i="13" s="1"/>
  <c r="D6" i="8"/>
  <c r="E59" i="13" s="1"/>
  <c r="E6" i="8"/>
  <c r="F59" i="13" s="1"/>
  <c r="D24" i="8"/>
  <c r="E77" i="13" s="1"/>
  <c r="E24" i="8"/>
  <c r="F77" i="13" s="1"/>
  <c r="D12" i="8"/>
  <c r="E65" i="13" s="1"/>
  <c r="E12" i="8"/>
  <c r="F65" i="13" s="1"/>
  <c r="E19" i="8"/>
  <c r="F72" i="13" s="1"/>
  <c r="D19" i="8"/>
  <c r="E72" i="13" s="1"/>
  <c r="E21" i="8"/>
  <c r="F74" i="13" s="1"/>
  <c r="D21" i="8"/>
  <c r="E74" i="13" s="1"/>
  <c r="D18" i="8"/>
  <c r="E71" i="13" s="1"/>
  <c r="E18" i="8"/>
  <c r="F71" i="13" s="1"/>
  <c r="E23" i="8"/>
  <c r="F76" i="13" s="1"/>
  <c r="D23" i="8"/>
  <c r="E76" i="13" s="1"/>
  <c r="D10" i="8"/>
  <c r="E63" i="13" s="1"/>
  <c r="E10" i="8"/>
  <c r="F63" i="13" s="1"/>
  <c r="E7" i="8"/>
  <c r="F60" i="13" s="1"/>
  <c r="D7" i="8"/>
  <c r="E60" i="13" s="1"/>
  <c r="I28" i="9"/>
  <c r="G16" i="1"/>
  <c r="H16" i="1" s="1"/>
  <c r="I16" i="1" s="1"/>
  <c r="G19" i="1"/>
  <c r="H19" i="1" s="1"/>
  <c r="I19" i="1" s="1"/>
  <c r="G15" i="1"/>
  <c r="H15" i="1" s="1"/>
  <c r="I15" i="1" s="1"/>
  <c r="G10" i="1"/>
  <c r="H10" i="1" s="1"/>
  <c r="I10" i="1" s="1"/>
  <c r="G18" i="1"/>
  <c r="H18" i="1" s="1"/>
  <c r="I18" i="1" s="1"/>
  <c r="G20" i="1"/>
  <c r="H20" i="1" s="1"/>
  <c r="I20" i="1" s="1"/>
  <c r="G23" i="1"/>
  <c r="H23" i="1" s="1"/>
  <c r="I23" i="1" s="1"/>
  <c r="G13" i="1"/>
  <c r="H13" i="1" s="1"/>
  <c r="I13" i="1" s="1"/>
  <c r="G25" i="1"/>
  <c r="H25" i="1" s="1"/>
  <c r="I25" i="1" s="1"/>
  <c r="G21" i="1"/>
  <c r="H21" i="1" s="1"/>
  <c r="I21" i="1" s="1"/>
  <c r="G26" i="1"/>
  <c r="H26" i="1" s="1"/>
  <c r="I26" i="1" s="1"/>
  <c r="G27" i="1"/>
  <c r="H27" i="1" s="1"/>
  <c r="I27" i="1" s="1"/>
  <c r="G28" i="1"/>
  <c r="H28" i="1" s="1"/>
  <c r="I28" i="1" s="1"/>
  <c r="G7" i="1"/>
  <c r="H7" i="1" s="1"/>
  <c r="I7" i="1" s="1"/>
  <c r="G24" i="1"/>
  <c r="H24" i="1" s="1"/>
  <c r="I24" i="1" s="1"/>
  <c r="G9" i="1"/>
  <c r="H9" i="1" s="1"/>
  <c r="I9" i="1" s="1"/>
  <c r="G22" i="1"/>
  <c r="H22" i="1" s="1"/>
  <c r="I22" i="1" s="1"/>
  <c r="G11" i="1"/>
  <c r="H11" i="1" s="1"/>
  <c r="I11" i="1" s="1"/>
  <c r="G12" i="1"/>
  <c r="H12" i="1" s="1"/>
  <c r="I12" i="1" s="1"/>
  <c r="G17" i="1"/>
  <c r="H17" i="1" s="1"/>
  <c r="I17" i="1" s="1"/>
  <c r="G8" i="1"/>
  <c r="H8" i="1" s="1"/>
  <c r="I8" i="1" s="1"/>
  <c r="G5" i="1"/>
  <c r="H5" i="1" s="1"/>
  <c r="I5" i="1" s="1"/>
  <c r="G4" i="1"/>
  <c r="H4" i="1" s="1"/>
  <c r="I4" i="1" s="1"/>
  <c r="D28" i="8" l="1"/>
  <c r="E81" i="13" s="1"/>
  <c r="E56" i="13"/>
  <c r="F56" i="13"/>
  <c r="E28" i="8"/>
  <c r="F81" i="13" s="1"/>
  <c r="F4" i="5"/>
  <c r="G4" i="5" s="1"/>
  <c r="H4" i="5" s="1"/>
  <c r="F25" i="5"/>
  <c r="G25" i="5" s="1"/>
  <c r="H25" i="5" s="1"/>
  <c r="F16" i="5"/>
  <c r="G16" i="5" s="1"/>
  <c r="H16" i="5" s="1"/>
  <c r="J28" i="9"/>
  <c r="K28" i="9"/>
  <c r="F17" i="5"/>
  <c r="G17" i="5" s="1"/>
  <c r="H17" i="5" s="1"/>
  <c r="F22" i="5"/>
  <c r="G22" i="5" s="1"/>
  <c r="H22" i="5" s="1"/>
  <c r="F23" i="5"/>
  <c r="G23" i="5" s="1"/>
  <c r="H23" i="5" s="1"/>
  <c r="F19" i="5"/>
  <c r="G19" i="5" s="1"/>
  <c r="H19" i="5" s="1"/>
  <c r="F10" i="5"/>
  <c r="G10" i="5" s="1"/>
  <c r="H10" i="5" s="1"/>
  <c r="F20" i="5"/>
  <c r="G20" i="5" s="1"/>
  <c r="H20" i="5" s="1"/>
  <c r="F13" i="5"/>
  <c r="G13" i="5" s="1"/>
  <c r="H13" i="5" s="1"/>
  <c r="F5" i="5"/>
  <c r="G5" i="5" s="1"/>
  <c r="H5" i="5" s="1"/>
  <c r="F28" i="5"/>
  <c r="G28" i="5" s="1"/>
  <c r="H28" i="5" s="1"/>
  <c r="F15" i="5"/>
  <c r="G15" i="5" s="1"/>
  <c r="H15" i="5" s="1"/>
  <c r="F7" i="5"/>
  <c r="G7" i="5" s="1"/>
  <c r="H7" i="5" s="1"/>
  <c r="F9" i="5"/>
  <c r="G9" i="5" s="1"/>
  <c r="H9" i="5" s="1"/>
  <c r="F14" i="5"/>
  <c r="G14" i="5" s="1"/>
  <c r="H14" i="5" s="1"/>
  <c r="F11" i="5"/>
  <c r="G11" i="5" s="1"/>
  <c r="H11" i="5" s="1"/>
  <c r="F8" i="5"/>
  <c r="G8" i="5" s="1"/>
  <c r="H8" i="5" s="1"/>
  <c r="F27" i="5"/>
  <c r="G27" i="5" s="1"/>
  <c r="H27" i="5" s="1"/>
  <c r="I29" i="1"/>
  <c r="I19" i="3"/>
  <c r="L18" i="3"/>
  <c r="L19" i="3" s="1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18" i="3"/>
  <c r="C20" i="3"/>
  <c r="C21" i="3"/>
  <c r="C22" i="3"/>
  <c r="C23" i="3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19" i="3"/>
  <c r="C18" i="3"/>
  <c r="C4" i="3"/>
  <c r="F4" i="3"/>
  <c r="F5" i="8" l="1"/>
  <c r="F13" i="8"/>
  <c r="G66" i="13" s="1"/>
  <c r="F17" i="8"/>
  <c r="G70" i="13" s="1"/>
  <c r="F21" i="8"/>
  <c r="G74" i="13" s="1"/>
  <c r="F25" i="8"/>
  <c r="G78" i="13" s="1"/>
  <c r="F6" i="8"/>
  <c r="G59" i="13" s="1"/>
  <c r="F14" i="8"/>
  <c r="F18" i="8"/>
  <c r="F22" i="8"/>
  <c r="F26" i="8"/>
  <c r="G79" i="13" s="1"/>
  <c r="F9" i="8"/>
  <c r="G62" i="13" s="1"/>
  <c r="F15" i="8"/>
  <c r="F19" i="8"/>
  <c r="F23" i="8"/>
  <c r="F27" i="8"/>
  <c r="F10" i="8"/>
  <c r="G63" i="13" s="1"/>
  <c r="F16" i="8"/>
  <c r="G69" i="13" s="1"/>
  <c r="F20" i="8"/>
  <c r="G73" i="13" s="1"/>
  <c r="F24" i="8"/>
  <c r="G77" i="13" s="1"/>
  <c r="F3" i="8"/>
  <c r="F12" i="8"/>
  <c r="G65" i="13" s="1"/>
  <c r="F8" i="8"/>
  <c r="F4" i="8"/>
  <c r="F7" i="8"/>
  <c r="G60" i="13" s="1"/>
  <c r="F11" i="8"/>
  <c r="G64" i="13" s="1"/>
  <c r="H29" i="5"/>
  <c r="G4" i="3"/>
  <c r="H4" i="3"/>
  <c r="G3" i="8" l="1"/>
  <c r="H56" i="13" s="1"/>
  <c r="F28" i="8"/>
  <c r="G81" i="13" s="1"/>
  <c r="G56" i="13"/>
  <c r="G18" i="8"/>
  <c r="H71" i="13" s="1"/>
  <c r="G71" i="13"/>
  <c r="G4" i="8"/>
  <c r="H57" i="13" s="1"/>
  <c r="G57" i="13"/>
  <c r="G27" i="8"/>
  <c r="H80" i="13" s="1"/>
  <c r="G80" i="13"/>
  <c r="G14" i="8"/>
  <c r="H67" i="13" s="1"/>
  <c r="G67" i="13"/>
  <c r="G15" i="8"/>
  <c r="H68" i="13" s="1"/>
  <c r="G68" i="13"/>
  <c r="G8" i="8"/>
  <c r="H61" i="13" s="1"/>
  <c r="G61" i="13"/>
  <c r="G23" i="8"/>
  <c r="H76" i="13" s="1"/>
  <c r="G76" i="13"/>
  <c r="G19" i="8"/>
  <c r="H72" i="13" s="1"/>
  <c r="G72" i="13"/>
  <c r="G22" i="8"/>
  <c r="H75" i="13" s="1"/>
  <c r="G75" i="13"/>
  <c r="G5" i="8"/>
  <c r="H58" i="13" s="1"/>
  <c r="G58" i="13"/>
  <c r="I8" i="8"/>
  <c r="J61" i="13" s="1"/>
  <c r="I19" i="8"/>
  <c r="J72" i="13" s="1"/>
  <c r="I5" i="8"/>
  <c r="J58" i="13" s="1"/>
  <c r="I3" i="8"/>
  <c r="J56" i="13" s="1"/>
  <c r="H3" i="8"/>
  <c r="I56" i="13" s="1"/>
  <c r="I15" i="8"/>
  <c r="J68" i="13" s="1"/>
  <c r="I4" i="8"/>
  <c r="J57" i="13" s="1"/>
  <c r="H14" i="8"/>
  <c r="I67" i="13" s="1"/>
  <c r="G7" i="8"/>
  <c r="H60" i="13" s="1"/>
  <c r="G10" i="8"/>
  <c r="H63" i="13" s="1"/>
  <c r="G21" i="8"/>
  <c r="H74" i="13" s="1"/>
  <c r="G24" i="8"/>
  <c r="H77" i="13" s="1"/>
  <c r="G9" i="8"/>
  <c r="H62" i="13" s="1"/>
  <c r="G17" i="8"/>
  <c r="H70" i="13" s="1"/>
  <c r="G20" i="8"/>
  <c r="H73" i="13" s="1"/>
  <c r="G26" i="8"/>
  <c r="H79" i="13" s="1"/>
  <c r="G6" i="8"/>
  <c r="H59" i="13" s="1"/>
  <c r="G13" i="8"/>
  <c r="H66" i="13" s="1"/>
  <c r="G11" i="8"/>
  <c r="H64" i="13" s="1"/>
  <c r="G12" i="8"/>
  <c r="H65" i="13" s="1"/>
  <c r="G16" i="8"/>
  <c r="H69" i="13" s="1"/>
  <c r="G25" i="8"/>
  <c r="H78" i="13" s="1"/>
  <c r="H27" i="8" l="1"/>
  <c r="I80" i="13" s="1"/>
  <c r="I18" i="8"/>
  <c r="J71" i="13" s="1"/>
  <c r="I22" i="8"/>
  <c r="J75" i="13" s="1"/>
  <c r="H23" i="8"/>
  <c r="I76" i="13" s="1"/>
  <c r="I27" i="8"/>
  <c r="J80" i="13" s="1"/>
  <c r="H18" i="8"/>
  <c r="I71" i="13" s="1"/>
  <c r="H22" i="8"/>
  <c r="I75" i="13" s="1"/>
  <c r="I23" i="8"/>
  <c r="J76" i="13" s="1"/>
  <c r="I14" i="8"/>
  <c r="J67" i="13" s="1"/>
  <c r="H4" i="8"/>
  <c r="I57" i="13" s="1"/>
  <c r="H15" i="8"/>
  <c r="I68" i="13" s="1"/>
  <c r="H5" i="8"/>
  <c r="I58" i="13" s="1"/>
  <c r="H19" i="8"/>
  <c r="I72" i="13" s="1"/>
  <c r="H8" i="8"/>
  <c r="I61" i="13" s="1"/>
  <c r="I11" i="8"/>
  <c r="J64" i="13" s="1"/>
  <c r="H11" i="8"/>
  <c r="I64" i="13" s="1"/>
  <c r="I20" i="8"/>
  <c r="J73" i="13" s="1"/>
  <c r="H20" i="8"/>
  <c r="I73" i="13" s="1"/>
  <c r="I21" i="8"/>
  <c r="J74" i="13" s="1"/>
  <c r="H21" i="8"/>
  <c r="I74" i="13" s="1"/>
  <c r="H25" i="8"/>
  <c r="I78" i="13" s="1"/>
  <c r="I25" i="8"/>
  <c r="J78" i="13" s="1"/>
  <c r="I13" i="8"/>
  <c r="J66" i="13" s="1"/>
  <c r="H13" i="8"/>
  <c r="I66" i="13" s="1"/>
  <c r="H17" i="8"/>
  <c r="I70" i="13" s="1"/>
  <c r="I17" i="8"/>
  <c r="J70" i="13" s="1"/>
  <c r="H10" i="8"/>
  <c r="I63" i="13" s="1"/>
  <c r="I10" i="8"/>
  <c r="J63" i="13" s="1"/>
  <c r="I16" i="8"/>
  <c r="J69" i="13" s="1"/>
  <c r="H16" i="8"/>
  <c r="I69" i="13" s="1"/>
  <c r="H6" i="8"/>
  <c r="I59" i="13" s="1"/>
  <c r="I6" i="8"/>
  <c r="J59" i="13" s="1"/>
  <c r="H9" i="8"/>
  <c r="I62" i="13" s="1"/>
  <c r="I9" i="8"/>
  <c r="J62" i="13" s="1"/>
  <c r="I7" i="8"/>
  <c r="J60" i="13" s="1"/>
  <c r="H7" i="8"/>
  <c r="I60" i="13" s="1"/>
  <c r="I12" i="8"/>
  <c r="J65" i="13" s="1"/>
  <c r="H12" i="8"/>
  <c r="I65" i="13" s="1"/>
  <c r="H26" i="8"/>
  <c r="I79" i="13" s="1"/>
  <c r="I26" i="8"/>
  <c r="J79" i="13" s="1"/>
  <c r="I24" i="8"/>
  <c r="J77" i="13" s="1"/>
  <c r="H24" i="8"/>
  <c r="I77" i="13" s="1"/>
  <c r="G28" i="8"/>
  <c r="H81" i="13" s="1"/>
  <c r="H28" i="8" l="1"/>
  <c r="I28" i="8"/>
  <c r="J81" i="13" l="1"/>
  <c r="I81" i="13"/>
  <c r="D16" i="13" s="1"/>
  <c r="E20" i="13"/>
  <c r="E22" i="13" s="1"/>
  <c r="D22" i="13" l="1"/>
</calcChain>
</file>

<file path=xl/sharedStrings.xml><?xml version="1.0" encoding="utf-8"?>
<sst xmlns="http://schemas.openxmlformats.org/spreadsheetml/2006/main" count="681" uniqueCount="226">
  <si>
    <t>Year</t>
  </si>
  <si>
    <t>Assumes 20 percent of VMT is trucks</t>
  </si>
  <si>
    <t>ADT</t>
  </si>
  <si>
    <t>ATS (mph)</t>
  </si>
  <si>
    <t>Hours Per Veh</t>
  </si>
  <si>
    <t>VHT</t>
  </si>
  <si>
    <t>VMT</t>
  </si>
  <si>
    <t>Step 1</t>
  </si>
  <si>
    <t>Developed ADT values for 2020 and 2040 Traffic based upon 2015 AADT = 14000 and AAGF = 1.6)</t>
  </si>
  <si>
    <t>Step 2</t>
  </si>
  <si>
    <t>Determined vehicle-miles traveled based on ADT and distance</t>
  </si>
  <si>
    <t>Step 3</t>
  </si>
  <si>
    <t>Determined vehicle-hours traveled based on average travel speeds and ADT</t>
  </si>
  <si>
    <t>ADT, VMT, and CHT Assumptions</t>
  </si>
  <si>
    <t>Roadway Length (mi)</t>
  </si>
  <si>
    <t>Estimates of VMT and VHT</t>
  </si>
  <si>
    <t>Daily VMT</t>
  </si>
  <si>
    <t>Daily VHT</t>
  </si>
  <si>
    <t>Baseline</t>
  </si>
  <si>
    <t>Estimates of VMT and VHT by years using 1.6% Traffic Growth Rate</t>
  </si>
  <si>
    <t>Impact of Roadway IRI on User Costs</t>
  </si>
  <si>
    <t>Value of Time (2015$)</t>
  </si>
  <si>
    <t>Automobiles</t>
  </si>
  <si>
    <t>Trucks</t>
  </si>
  <si>
    <r>
      <t>Value of Time</t>
    </r>
    <r>
      <rPr>
        <vertAlign val="superscript"/>
        <sz val="10"/>
        <color indexed="8"/>
        <rFont val="Arial"/>
        <family val="2"/>
      </rPr>
      <t>1</t>
    </r>
  </si>
  <si>
    <t>per hour</t>
  </si>
  <si>
    <t>Occupancy</t>
  </si>
  <si>
    <r>
      <t>Inventory Costs</t>
    </r>
    <r>
      <rPr>
        <vertAlign val="superscript"/>
        <sz val="10"/>
        <color indexed="8"/>
        <rFont val="Arial"/>
        <family val="2"/>
      </rPr>
      <t>2</t>
    </r>
  </si>
  <si>
    <t>TOTAL COST</t>
  </si>
  <si>
    <t>per VHT</t>
  </si>
  <si>
    <t>Miles per Year</t>
  </si>
  <si>
    <t>Discount Rate</t>
  </si>
  <si>
    <t>Total</t>
  </si>
  <si>
    <t>Total Daily VMT</t>
  </si>
  <si>
    <t>Total Daily VHT (70mph Speed Limit)</t>
  </si>
  <si>
    <t>Effects of Poor Roadway Conditions per 1 IRI Unit (63.4) MPH</t>
  </si>
  <si>
    <t>Effects of Poor Roadway Conditions on VHT</t>
  </si>
  <si>
    <t>Value of Travel Time Savings-Business Intercity ($2015)</t>
  </si>
  <si>
    <t>Step 4</t>
  </si>
  <si>
    <t>Effect of poor roadway condition on travel speed is 0.3 to 0.5 MPH per change in 1 unit of IRI (63.4 points)</t>
  </si>
  <si>
    <t>Step 5</t>
  </si>
  <si>
    <t>Effects of Poor Roadway Conditions on increased vehicle operating costs per 1 IRI Unit (63.4)</t>
  </si>
  <si>
    <t>Impact of Poor Roadway Condition on increased User Operating Costs</t>
  </si>
  <si>
    <t>NPV of Increased Veh. Operating Costs (Discounted @ 7%)</t>
  </si>
  <si>
    <t>Build</t>
  </si>
  <si>
    <t>No-Build</t>
  </si>
  <si>
    <t>Costs</t>
  </si>
  <si>
    <t>Maintenance</t>
  </si>
  <si>
    <t>TOTAL</t>
  </si>
  <si>
    <t>Work Item</t>
  </si>
  <si>
    <t>Construction &amp; CEI</t>
  </si>
  <si>
    <t>Proejct Base Cost Estimate</t>
  </si>
  <si>
    <t>3-Year Annual Cost</t>
  </si>
  <si>
    <t>Construction + CEI + Maintenane</t>
  </si>
  <si>
    <t>NPV of Delay Costs (Discounted @ 7%)</t>
  </si>
  <si>
    <t>NPV of Annual Cost Savings (Discounted @ 7%)</t>
  </si>
  <si>
    <t>Number of Work Days in a Year</t>
  </si>
  <si>
    <t>260 Days</t>
  </si>
  <si>
    <t>Number of Off-Work Days in a Year</t>
  </si>
  <si>
    <t>104 Days</t>
  </si>
  <si>
    <t>Ratio of Traffic on Off-Work Days to Work Days</t>
  </si>
  <si>
    <t>Impact of Improved Roadway Condition on User Operating Costs</t>
  </si>
  <si>
    <t>CO2</t>
  </si>
  <si>
    <t>NOx</t>
  </si>
  <si>
    <t>Social Cost of Carbon Recommended Monetized Values</t>
  </si>
  <si>
    <t>3% SCC ($2015) $/Ton</t>
  </si>
  <si>
    <t xml:space="preserve"> Social Cost of Carbon Emission Cost Savings </t>
  </si>
  <si>
    <t>Travel Time Cost Savings</t>
  </si>
  <si>
    <t>Sum of all Benefits</t>
  </si>
  <si>
    <t>B/C Ratio</t>
  </si>
  <si>
    <t>Project Life Cycle Costs</t>
  </si>
  <si>
    <t>Table B1. Vehicle Operating Cost - Existing Conditions</t>
  </si>
  <si>
    <t>Poor roadway conditions result in slower travel speed and higher VHT; Change in VHT is 0.86%</t>
  </si>
  <si>
    <t>Table B2. Vehicle Operating Cost - Existing Conditions</t>
  </si>
  <si>
    <t>DALIY Operating Costs ($ 2015)</t>
  </si>
  <si>
    <t>Annual Operating Costs ($ 2015)</t>
  </si>
  <si>
    <t>DALIY Delay Costs ($ 2015)</t>
  </si>
  <si>
    <t>Annual Delay Costs ($ 2015)</t>
  </si>
  <si>
    <t>Total Daily Cost Savings ($ 2015)</t>
  </si>
  <si>
    <t>Annual Cost Savings ($ 2015)</t>
  </si>
  <si>
    <t>NPV of Veh. Operating Costs Savings(Discounted @ 7%)</t>
  </si>
  <si>
    <t>NPV of Emission Cost Savings (Discounted @ 7%)</t>
  </si>
  <si>
    <t>Total Annual CO2 Emission Costs Savings</t>
  </si>
  <si>
    <t>Value of Travel Time Savings-Weighted Average ($2015)</t>
  </si>
  <si>
    <t>Truck Operating Costs (23.25% Truck Traffic)</t>
  </si>
  <si>
    <t>Auto Operating Costs (76.75% Auto Traffic)</t>
  </si>
  <si>
    <t>Total Daily Auto Delay Hours (76.75% Auto Traffic)</t>
  </si>
  <si>
    <t>Total Daily Truck Delay Hours (23.25% Truck Traffic)</t>
  </si>
  <si>
    <t>Total Daily Auto Time Savings Hours (76.75% Auto Traffic)</t>
  </si>
  <si>
    <t>Total Daily Truck Time Savings Hours (23.25% Truck Traffic)</t>
  </si>
  <si>
    <t>Const &amp; CEI</t>
  </si>
  <si>
    <t>NPV of Annual Cost Savings (Discounted @3%)</t>
  </si>
  <si>
    <t>NPV of Veh. Operating Costs Savings(Discounted @ 3%)</t>
  </si>
  <si>
    <t>Total Operations and Maintenance (O&amp;M)
 Cost Savings</t>
  </si>
  <si>
    <t>NPV of O&amp;M Cost Savings Discounted @ 7%</t>
  </si>
  <si>
    <t>Benefit/Cost Category</t>
  </si>
  <si>
    <t>Discounted at 3%</t>
  </si>
  <si>
    <t>Discounted at 7%</t>
  </si>
  <si>
    <t>Vehicle Operating Cost Savings</t>
  </si>
  <si>
    <t>State-of-Good Repair Benefits</t>
  </si>
  <si>
    <t>NPV of O&amp;M Cost Savings Discounted @ 3%</t>
  </si>
  <si>
    <t>Current Status/Baseline &amp; Problem to be Addressed</t>
  </si>
  <si>
    <t>Change to Baseline/ Alternatives</t>
  </si>
  <si>
    <t>Type of Impact</t>
  </si>
  <si>
    <t>Population Affected by Impact</t>
  </si>
  <si>
    <t>Economic Benefit</t>
  </si>
  <si>
    <t>Page Reference in BCA</t>
  </si>
  <si>
    <t>Reduced vehicle operating costs</t>
  </si>
  <si>
    <t>-</t>
  </si>
  <si>
    <t>Project Matrix</t>
  </si>
  <si>
    <t>Fair to poor roadway conditions along the 44 mile stretch of I-555 from Jonesboro to I-55.
The I-555 corridor has a 23.35% truck traffic and is critical for freight movement.
Several segments of I-555 experience higher crash rates than other similar facilities of the same type in the State.</t>
  </si>
  <si>
    <t xml:space="preserve">Interstate 555 from the City of Jonesboro to Interstate 55 is in need of repairs ranging from minor preventive maintenance to full depth reconstruction. </t>
  </si>
  <si>
    <t>Reduced travel time cost savings</t>
  </si>
  <si>
    <t>Emission reduction cost savings</t>
  </si>
  <si>
    <t>State-of-good repair O&amp;M cost savings</t>
  </si>
  <si>
    <t>Faster travel time for travelers.
Reduced truck delays and improved throughput</t>
  </si>
  <si>
    <t>Intercity travelers on the I-555 corridor
Jonesboro population</t>
  </si>
  <si>
    <t>NPV of Project Costs 
Discounted @ 7%</t>
  </si>
  <si>
    <t>Average Auto Operating Costs/Mile</t>
  </si>
  <si>
    <t>Average Truck Operating Costs/Mile</t>
  </si>
  <si>
    <t>Estimate of Value of Time</t>
  </si>
  <si>
    <t>AUTOS</t>
  </si>
  <si>
    <t>Driving costs (cents per mile) in 2014$</t>
  </si>
  <si>
    <t>Auto Type</t>
  </si>
  <si>
    <t>Small Sedan</t>
  </si>
  <si>
    <t>Medium Sedan</t>
  </si>
  <si>
    <t>Large Sedan</t>
  </si>
  <si>
    <t>Sedan (Composite Average)</t>
  </si>
  <si>
    <t>4WD Sport Utility Vehicle</t>
  </si>
  <si>
    <t>Minivan</t>
  </si>
  <si>
    <t>Auto (Average)</t>
  </si>
  <si>
    <t>Source: Your Driving Costs, 2015 Edition (AAA)</t>
  </si>
  <si>
    <t>Note: Average costs per mile includes costs for fuel, maintenance, tires, full-coverage insurance, fees (license and registration) and taxes, depreciation, and financing.</t>
  </si>
  <si>
    <t>Your Driving Costs Historical Data/Downloads available at</t>
  </si>
  <si>
    <t>http://exchange.aaa.com/automobiles-travel/automobiles/driving-costs/</t>
  </si>
  <si>
    <t>TRUCKS</t>
  </si>
  <si>
    <t>Average Marginal VOC per mile for the Southeast Region in 2014</t>
  </si>
  <si>
    <t>Operating Cost</t>
  </si>
  <si>
    <t>Fuel Costs</t>
  </si>
  <si>
    <t>Truck/Trailer Lease or Purchase Payments</t>
  </si>
  <si>
    <t>Repair &amp; Maintenance</t>
  </si>
  <si>
    <t>Truck Insurance Premiums</t>
  </si>
  <si>
    <t>Permits and Licenses</t>
  </si>
  <si>
    <t>Tires</t>
  </si>
  <si>
    <t>Tolls</t>
  </si>
  <si>
    <t>Total =</t>
  </si>
  <si>
    <t>http://atri-online.org/wp-content/uploads/2015/09/ATRI-Operational-Costs-of-Trucking-2015-FINAL-09-2015.pdf</t>
  </si>
  <si>
    <t>Vehicle Operating Costs (2015$)</t>
  </si>
  <si>
    <t>Estimate of Vehicle Operating Costs</t>
  </si>
  <si>
    <t>Source: An Analysis of the Operational Costs of Trucking: 2015 Update (ATRI, September 2015), Table 15, p. 27</t>
  </si>
  <si>
    <t>Average Emissions (in grams/mile)  for Passenger Cars and Light Duty Trucks</t>
  </si>
  <si>
    <t>Pollutant</t>
  </si>
  <si>
    <t xml:space="preserve">Passenger Cars </t>
  </si>
  <si>
    <t xml:space="preserve">Light-Duty Trucks </t>
  </si>
  <si>
    <t xml:space="preserve">Estimated Average </t>
  </si>
  <si>
    <t>VOC</t>
  </si>
  <si>
    <t>THC</t>
  </si>
  <si>
    <t>CO</t>
  </si>
  <si>
    <t>PM10</t>
  </si>
  <si>
    <t>PM2.5</t>
  </si>
  <si>
    <t>Average Emissions (in grams/mile) or Heavy-Duty Trucks (per mile driven)</t>
  </si>
  <si>
    <t>HDGV (gasoline) in grams/mile</t>
  </si>
  <si>
    <t>HDDV (diesel) in grams/mile</t>
  </si>
  <si>
    <t>SCC values are reported per metric ton of
carbon dioxide, and are already discounted to the reference years reported in the table.</t>
  </si>
  <si>
    <t>Source: U.S. Environmental Protection Agency (EPA), Office of Transportation and Air Quality, Average Annual Emissions and Fuel Consumption for Gasoline-Fueled Passenger Cars and Light Trucks, pages 4-5 (EPA420-F-08-024, October 2008).</t>
  </si>
  <si>
    <t>https://nepis.epa.gov/Exe/ZyNET.exe/P100EVXP.TXT?ZyActionD=ZyDocument&amp;Client=EPA&amp;Index=2006+Thru+2010&amp;Docs=&amp;Query=&amp;Time=&amp;EndTime=&amp;SearchMethod=1&amp;TocRestrict=n&amp;Toc=&amp;TocEntry=&amp;QField=&amp;QFieldYear=&amp;QFieldMonth=&amp;QFieldDay=&amp;IntQFieldOp=0&amp;ExtQFieldOp=0&amp;XmlQuery=&amp;File=D%3A%5Czyfiles%5CIndex%20Data%5C06thru10%5CTxt%5C00000033%5CP100EVXP.txt&amp;User=ANONYMOUS&amp;Password=anonymous&amp;SortMethod=h%7C-&amp;MaximumDocuments=1&amp;FuzzyDegree=0&amp;ImageQuality=r75g8/r75g8/x150y150g16/i425&amp;Display=hpfr&amp;DefSeekPage=x&amp;SearchBack=ZyActionL&amp;Back=ZyActionS&amp;BackDesc=Results%20page&amp;MaximumPages=1&amp;ZyEntry=1&amp;SeekPage=x&amp;ZyPURL</t>
  </si>
  <si>
    <t>Source: U.S. Environmental Protection Agency (EPA), Office of Transportation and Air Quality, Average In-Use Emissions from Heavy-Duty Trucks (EPA420-F-08-027 October 2008)</t>
  </si>
  <si>
    <t>https://nepis.epa.gov/Exe/ZyNET.exe/P100EVY6.txt?ZyActionD=ZyDocument&amp;Client=EPA&amp;Index=2006%20Thru%202010&amp;Docs=&amp;Query=&amp;Time=&amp;EndTime=&amp;SearchMethod=1&amp;TocRestrict=n&amp;Toc=&amp;TocEntry=&amp;QField=&amp;QFieldYear=&amp;QFieldMonth=&amp;QFieldDay=&amp;UseQField=&amp;IntQFieldOp=0&amp;ExtQFieldOp=0&amp;XmlQuery=&amp;File=D%3A%5CZYFILES%5CINDEX%20DATA%5C06THRU10%5CTXT%5C00000033%5CP100EVY6.txt&amp;User=ANONYMOUS&amp;Password=anonymous&amp;SortMethod=h%7C-&amp;MaximumDocuments=1&amp;FuzzyDegree=0&amp;ImageQuality=r75g8/r75g8/x150y150g16/i425&amp;Display=hpfr&amp;DefSeekPage=x&amp;SearchBack=ZyActionL&amp;Back=ZyActionS&amp;BackDesc=Results%20page&amp;MaximumPages=1&amp;ZyEntry=2#</t>
  </si>
  <si>
    <t>Same value as Light-Duty Trucks</t>
  </si>
  <si>
    <t>grams</t>
  </si>
  <si>
    <t>Emissions (metric ton) = Emission Rate (g/mile) x  VMT (miles traveled/year)  x  CO2 (grams to metric ton)</t>
  </si>
  <si>
    <t>CO2 = 1 metric ton =</t>
  </si>
  <si>
    <t>Emissions (short ton) = Emission Rate (g/mile) x  VMT (miles traveled/year)  x  CF (grams to short ton)</t>
  </si>
  <si>
    <t>Non-Carbon = 1 short ton =</t>
  </si>
  <si>
    <t>Total Daily CO2 Costs Savings Due to IRI Improvements (3% Reduction)</t>
  </si>
  <si>
    <t>Average Emissions (grams/mile)  for Passenger Cars and Light Duty Trucks</t>
  </si>
  <si>
    <t>Average Emissions (grams/mile) or Heavy-Duty Trucks (per mile driven)</t>
  </si>
  <si>
    <t xml:space="preserve">2015 Dollar Value </t>
  </si>
  <si>
    <t>Non-Carbon Emissions Cost Assumptions</t>
  </si>
  <si>
    <t>2016 FASTLANE/TIGER Benefit-Cost Analysis (BCA) Resource Guide; Corporate Average Fuel Economy for MY2017-MY2025 Passenger Cars and Light Trucks (August 2012), page 922, Table VIII-16, "Economic Values Used for Benefits Computations (2010 dollars). Note: The Resource Guide converts this value into 2015 dollars.</t>
  </si>
  <si>
    <t xml:space="preserve">VOC Emission Cost Savings </t>
  </si>
  <si>
    <t>Truck VOC Emissions Tons (23.25% Truck Traffic)</t>
  </si>
  <si>
    <t>Total Daily VOC Costs Savings Due to IRI Improvements (3% Reduction)</t>
  </si>
  <si>
    <t>HDGV grams/mile</t>
  </si>
  <si>
    <t>HDDV grams/mile</t>
  </si>
  <si>
    <t>Auto VOC Emissions Short Tons (76.75% Auto Traffic)</t>
  </si>
  <si>
    <t>Auto CO2 Emissions Metric Tons (76.75% Auto Traffic)</t>
  </si>
  <si>
    <t>Truck CO2 Emissions Metric Tons (23.25% Truck Traffic)</t>
  </si>
  <si>
    <t xml:space="preserve">NOx Emission Cost Savings </t>
  </si>
  <si>
    <t>Auto NOx Emissions Short Tons (76.75% Auto Traffic)</t>
  </si>
  <si>
    <t>Truck NOx Emissions Tons (23.25% Truck Traffic)</t>
  </si>
  <si>
    <t>Total Daily NOx Costs Savings Due to IRI Improvements (3% Reduction)</t>
  </si>
  <si>
    <t>Total Annual NOx Emission Costs Savings</t>
  </si>
  <si>
    <t>Total Annual VOC Emission Costs Savings</t>
  </si>
  <si>
    <t xml:space="preserve">PMs Emission Cost Savings </t>
  </si>
  <si>
    <t>Auto PMs Emissions Short Tons (76.75% Auto Traffic)</t>
  </si>
  <si>
    <t>Truck PMs Emissions Tons (23.25% Truck Traffic)</t>
  </si>
  <si>
    <t>Total Daily PMs Costs Savings Due to IRI Improvements (3% Reduction)</t>
  </si>
  <si>
    <t>Total Annual PMs Emission Costs Savings</t>
  </si>
  <si>
    <t>Total Annual Carbon Emissions Cost Savings</t>
  </si>
  <si>
    <t>Total Annual Non-Carbon Emissions Cost Savings</t>
  </si>
  <si>
    <t>Table F2. Travel Time Cost Savings</t>
  </si>
  <si>
    <t>Table F1. Vehicle Operating Cost Savings</t>
  </si>
  <si>
    <t>Table F3. Emission Reduction Cost Savings</t>
  </si>
  <si>
    <t>F4. Operations and Maintenance Cost Savings</t>
  </si>
  <si>
    <t xml:space="preserve">F5. Proejct Construction + Maintenance Costs </t>
  </si>
  <si>
    <t>2016 FASTLANE/TIGER Benefit-Cost Analysis (BCA) Resource Guide; Page 4 Recommended Monetized Values table; Reference Note: Revised Departmental Guidance on Valuation
of Travel Time in Economic Analysis (Revision 2 – corrected) http://www.dot.gov/officepolicy/transportation-policy/guidance-valuetime</t>
  </si>
  <si>
    <t>Average Marginal VOC $ per mile for the Southeast Region in 2014</t>
  </si>
  <si>
    <t>Increase in Daily VHT (69.6 mph Speed Limit)</t>
  </si>
  <si>
    <t>Summary of Results
Discounted @ 3%</t>
  </si>
  <si>
    <t>Summary of Results
Discounted @ 7%</t>
  </si>
  <si>
    <t>pp. 5-6</t>
  </si>
  <si>
    <t>pp. 6-7</t>
  </si>
  <si>
    <t>pp. 7-9</t>
  </si>
  <si>
    <t>pp. 9-10</t>
  </si>
  <si>
    <t>NPV of Carbon Emission Cost Savings (Discounted @ 3%)</t>
  </si>
  <si>
    <t>Total Annual Emissions Cost Savings ($2015)</t>
  </si>
  <si>
    <t>NPV of Non-Carbon Emission Cost Savings (Discounted @ 7%)</t>
  </si>
  <si>
    <t>NPV of Non-Carbon Emission Cost Savings (Discounted @ 3%)</t>
  </si>
  <si>
    <t>Total Annual VMT</t>
  </si>
  <si>
    <t>Carbon Emissions Reduction Cost Savings</t>
  </si>
  <si>
    <t>Non-Carbon Emissions Reduction Cost Savings</t>
  </si>
  <si>
    <t>Execessive Emissions due to increase in 1 unit of IRI (63.4)</t>
  </si>
  <si>
    <t>Per USDOT Recommendation the Carbon Emission Costs/benefits are discounted at 3% discount rate.</t>
  </si>
  <si>
    <t>Present Value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</si>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</sst>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000"/>
    <numFmt numFmtId="166" formatCode="&quot;$&quot;#,##0.00"/>
    <numFmt numFmtId="167" formatCode="0.0%"/>
    <numFmt numFmtId="168" formatCode="_(&quot;$&quot;* #,##0_);_(&quot;$&quot;* \(#,##0\);_(&quot;$&quot;* &quot;-&quot;??_);_(@_)"/>
    <numFmt numFmtId="169" formatCode="0.0"/>
    <numFmt numFmtId="170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0"/>
      <color theme="0" tint="-0.34998626667073579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30">
    <xf numFmtId="0" fontId="0" fillId="0" borderId="0" xfId="0"/>
    <xf numFmtId="0" fontId="2" fillId="2" borderId="12" xfId="0" applyFont="1" applyFill="1" applyBorder="1"/>
    <xf numFmtId="0" fontId="2" fillId="2" borderId="15" xfId="0" applyFont="1" applyFill="1" applyBorder="1"/>
    <xf numFmtId="0" fontId="2" fillId="2" borderId="18" xfId="0" applyFont="1" applyFill="1" applyBorder="1"/>
    <xf numFmtId="0" fontId="5" fillId="2" borderId="22" xfId="0" applyFont="1" applyFill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/>
    </xf>
    <xf numFmtId="165" fontId="3" fillId="0" borderId="24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165" fontId="3" fillId="0" borderId="27" xfId="0" applyNumberFormat="1" applyFont="1" applyBorder="1" applyAlignment="1">
      <alignment horizontal="center"/>
    </xf>
    <xf numFmtId="1" fontId="3" fillId="0" borderId="27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2" fillId="2" borderId="10" xfId="0" applyFont="1" applyFill="1" applyBorder="1"/>
    <xf numFmtId="0" fontId="2" fillId="2" borderId="32" xfId="0" applyFont="1" applyFill="1" applyBorder="1"/>
    <xf numFmtId="3" fontId="0" fillId="0" borderId="13" xfId="0" applyNumberFormat="1" applyBorder="1"/>
    <xf numFmtId="0" fontId="2" fillId="2" borderId="6" xfId="0" applyFont="1" applyFill="1" applyBorder="1" applyAlignment="1"/>
    <xf numFmtId="0" fontId="2" fillId="2" borderId="32" xfId="0" applyFont="1" applyFill="1" applyBorder="1" applyAlignment="1"/>
    <xf numFmtId="3" fontId="0" fillId="0" borderId="12" xfId="0" applyNumberFormat="1" applyBorder="1"/>
    <xf numFmtId="3" fontId="0" fillId="0" borderId="26" xfId="0" applyNumberFormat="1" applyBorder="1"/>
    <xf numFmtId="3" fontId="0" fillId="0" borderId="31" xfId="0" applyNumberFormat="1" applyBorder="1"/>
    <xf numFmtId="0" fontId="3" fillId="0" borderId="16" xfId="0" applyFont="1" applyBorder="1" applyAlignment="1">
      <alignment horizontal="center"/>
    </xf>
    <xf numFmtId="8" fontId="7" fillId="0" borderId="24" xfId="0" applyNumberFormat="1" applyFont="1" applyFill="1" applyBorder="1" applyAlignment="1">
      <alignment horizontal="center"/>
    </xf>
    <xf numFmtId="8" fontId="3" fillId="0" borderId="17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166" fontId="3" fillId="0" borderId="24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8" fontId="5" fillId="0" borderId="27" xfId="0" applyNumberFormat="1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6" fontId="5" fillId="0" borderId="27" xfId="0" applyNumberFormat="1" applyFont="1" applyBorder="1" applyAlignment="1">
      <alignment horizontal="center"/>
    </xf>
    <xf numFmtId="44" fontId="0" fillId="4" borderId="24" xfId="1" applyNumberFormat="1" applyFont="1" applyFill="1" applyBorder="1" applyAlignment="1">
      <alignment horizontal="left" vertical="center"/>
    </xf>
    <xf numFmtId="164" fontId="3" fillId="0" borderId="12" xfId="3" applyNumberFormat="1" applyBorder="1"/>
    <xf numFmtId="164" fontId="3" fillId="0" borderId="31" xfId="3" applyNumberFormat="1" applyBorder="1"/>
    <xf numFmtId="167" fontId="0" fillId="4" borderId="24" xfId="2" applyNumberFormat="1" applyFont="1" applyFill="1" applyBorder="1" applyAlignment="1">
      <alignment horizontal="left" vertical="center"/>
    </xf>
    <xf numFmtId="2" fontId="0" fillId="4" borderId="24" xfId="2" applyNumberFormat="1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/>
    </xf>
    <xf numFmtId="165" fontId="3" fillId="0" borderId="30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3" fontId="0" fillId="0" borderId="42" xfId="0" applyNumberFormat="1" applyFont="1" applyFill="1" applyBorder="1"/>
    <xf numFmtId="3" fontId="0" fillId="0" borderId="4" xfId="0" applyNumberFormat="1" applyFont="1" applyFill="1" applyBorder="1"/>
    <xf numFmtId="3" fontId="0" fillId="0" borderId="8" xfId="0" applyNumberFormat="1" applyFont="1" applyFill="1" applyBorder="1"/>
    <xf numFmtId="44" fontId="0" fillId="4" borderId="24" xfId="1" applyFont="1" applyFill="1" applyBorder="1" applyAlignment="1">
      <alignment horizontal="left" vertical="center"/>
    </xf>
    <xf numFmtId="164" fontId="3" fillId="0" borderId="32" xfId="3" applyNumberFormat="1" applyBorder="1"/>
    <xf numFmtId="0" fontId="0" fillId="0" borderId="24" xfId="0" applyBorder="1"/>
    <xf numFmtId="168" fontId="0" fillId="0" borderId="24" xfId="1" applyNumberFormat="1" applyFont="1" applyBorder="1"/>
    <xf numFmtId="168" fontId="0" fillId="0" borderId="24" xfId="0" applyNumberFormat="1" applyBorder="1"/>
    <xf numFmtId="0" fontId="3" fillId="0" borderId="0" xfId="0" applyFont="1" applyFill="1" applyBorder="1"/>
    <xf numFmtId="9" fontId="0" fillId="4" borderId="24" xfId="2" applyFont="1" applyFill="1" applyBorder="1" applyAlignment="1">
      <alignment horizontal="left" vertical="center"/>
    </xf>
    <xf numFmtId="0" fontId="0" fillId="0" borderId="48" xfId="0" applyBorder="1"/>
    <xf numFmtId="0" fontId="0" fillId="0" borderId="0" xfId="0" applyBorder="1"/>
    <xf numFmtId="0" fontId="0" fillId="0" borderId="50" xfId="0" applyBorder="1"/>
    <xf numFmtId="0" fontId="0" fillId="0" borderId="33" xfId="0" applyBorder="1"/>
    <xf numFmtId="0" fontId="0" fillId="0" borderId="34" xfId="0" applyBorder="1"/>
    <xf numFmtId="0" fontId="0" fillId="0" borderId="40" xfId="0" applyBorder="1"/>
    <xf numFmtId="0" fontId="0" fillId="0" borderId="17" xfId="0" applyBorder="1"/>
    <xf numFmtId="0" fontId="2" fillId="0" borderId="27" xfId="0" applyFont="1" applyBorder="1"/>
    <xf numFmtId="0" fontId="2" fillId="0" borderId="11" xfId="0" applyFont="1" applyBorder="1"/>
    <xf numFmtId="0" fontId="2" fillId="2" borderId="49" xfId="0" applyFont="1" applyFill="1" applyBorder="1"/>
    <xf numFmtId="0" fontId="2" fillId="2" borderId="42" xfId="0" applyFont="1" applyFill="1" applyBorder="1"/>
    <xf numFmtId="0" fontId="2" fillId="2" borderId="8" xfId="0" applyFont="1" applyFill="1" applyBorder="1"/>
    <xf numFmtId="168" fontId="0" fillId="0" borderId="32" xfId="1" applyNumberFormat="1" applyFont="1" applyBorder="1"/>
    <xf numFmtId="168" fontId="0" fillId="0" borderId="15" xfId="1" applyNumberFormat="1" applyFont="1" applyBorder="1"/>
    <xf numFmtId="168" fontId="0" fillId="0" borderId="18" xfId="1" applyNumberFormat="1" applyFont="1" applyBorder="1"/>
    <xf numFmtId="0" fontId="2" fillId="6" borderId="15" xfId="0" applyFont="1" applyFill="1" applyBorder="1"/>
    <xf numFmtId="0" fontId="5" fillId="5" borderId="10" xfId="0" applyFont="1" applyFill="1" applyBorder="1" applyAlignment="1">
      <alignment horizontal="center"/>
    </xf>
    <xf numFmtId="164" fontId="5" fillId="5" borderId="27" xfId="0" applyNumberFormat="1" applyFont="1" applyFill="1" applyBorder="1" applyAlignment="1">
      <alignment horizontal="center"/>
    </xf>
    <xf numFmtId="0" fontId="2" fillId="5" borderId="32" xfId="0" applyFont="1" applyFill="1" applyBorder="1"/>
    <xf numFmtId="0" fontId="3" fillId="5" borderId="13" xfId="0" applyFont="1" applyFill="1" applyBorder="1"/>
    <xf numFmtId="164" fontId="3" fillId="5" borderId="23" xfId="0" applyNumberFormat="1" applyFont="1" applyFill="1" applyBorder="1"/>
    <xf numFmtId="164" fontId="3" fillId="5" borderId="49" xfId="0" applyNumberFormat="1" applyFont="1" applyFill="1" applyBorder="1"/>
    <xf numFmtId="164" fontId="0" fillId="5" borderId="32" xfId="0" applyNumberFormat="1" applyFill="1" applyBorder="1"/>
    <xf numFmtId="0" fontId="2" fillId="5" borderId="15" xfId="0" applyFont="1" applyFill="1" applyBorder="1"/>
    <xf numFmtId="164" fontId="0" fillId="5" borderId="15" xfId="0" applyNumberFormat="1" applyFill="1" applyBorder="1"/>
    <xf numFmtId="0" fontId="3" fillId="5" borderId="16" xfId="0" applyFont="1" applyFill="1" applyBorder="1"/>
    <xf numFmtId="164" fontId="3" fillId="5" borderId="24" xfId="0" applyNumberFormat="1" applyFont="1" applyFill="1" applyBorder="1"/>
    <xf numFmtId="0" fontId="2" fillId="5" borderId="31" xfId="0" applyFont="1" applyFill="1" applyBorder="1" applyAlignment="1">
      <alignment vertical="center" wrapText="1"/>
    </xf>
    <xf numFmtId="0" fontId="5" fillId="5" borderId="26" xfId="0" applyFont="1" applyFill="1" applyBorder="1" applyAlignment="1">
      <alignment vertical="center" wrapText="1"/>
    </xf>
    <xf numFmtId="164" fontId="5" fillId="5" borderId="9" xfId="0" applyNumberFormat="1" applyFont="1" applyFill="1" applyBorder="1" applyAlignment="1">
      <alignment vertical="center" wrapText="1"/>
    </xf>
    <xf numFmtId="164" fontId="5" fillId="5" borderId="33" xfId="0" applyNumberFormat="1" applyFont="1" applyFill="1" applyBorder="1" applyAlignment="1">
      <alignment vertical="center" wrapText="1"/>
    </xf>
    <xf numFmtId="164" fontId="5" fillId="5" borderId="31" xfId="0" applyNumberFormat="1" applyFont="1" applyFill="1" applyBorder="1" applyAlignment="1">
      <alignment vertical="center" wrapText="1"/>
    </xf>
    <xf numFmtId="0" fontId="2" fillId="6" borderId="12" xfId="0" applyFont="1" applyFill="1" applyBorder="1"/>
    <xf numFmtId="0" fontId="2" fillId="6" borderId="18" xfId="0" applyFont="1" applyFill="1" applyBorder="1"/>
    <xf numFmtId="3" fontId="0" fillId="6" borderId="4" xfId="0" applyNumberFormat="1" applyFont="1" applyFill="1" applyBorder="1"/>
    <xf numFmtId="3" fontId="0" fillId="6" borderId="42" xfId="0" applyNumberFormat="1" applyFont="1" applyFill="1" applyBorder="1"/>
    <xf numFmtId="3" fontId="0" fillId="6" borderId="8" xfId="0" applyNumberFormat="1" applyFont="1" applyFill="1" applyBorder="1"/>
    <xf numFmtId="168" fontId="0" fillId="6" borderId="15" xfId="0" applyNumberFormat="1" applyFill="1" applyBorder="1"/>
    <xf numFmtId="0" fontId="0" fillId="7" borderId="28" xfId="0" applyFill="1" applyBorder="1" applyAlignment="1">
      <alignment wrapText="1"/>
    </xf>
    <xf numFmtId="0" fontId="0" fillId="7" borderId="3" xfId="0" applyFill="1" applyBorder="1" applyAlignment="1">
      <alignment wrapText="1"/>
    </xf>
    <xf numFmtId="3" fontId="0" fillId="7" borderId="4" xfId="0" applyNumberFormat="1" applyFont="1" applyFill="1" applyBorder="1"/>
    <xf numFmtId="2" fontId="0" fillId="7" borderId="32" xfId="0" applyNumberFormat="1" applyFill="1" applyBorder="1"/>
    <xf numFmtId="3" fontId="0" fillId="7" borderId="42" xfId="0" applyNumberFormat="1" applyFont="1" applyFill="1" applyBorder="1"/>
    <xf numFmtId="2" fontId="0" fillId="7" borderId="15" xfId="0" applyNumberFormat="1" applyFill="1" applyBorder="1"/>
    <xf numFmtId="3" fontId="0" fillId="7" borderId="8" xfId="0" applyNumberFormat="1" applyFont="1" applyFill="1" applyBorder="1"/>
    <xf numFmtId="2" fontId="0" fillId="7" borderId="18" xfId="0" applyNumberFormat="1" applyFill="1" applyBorder="1"/>
    <xf numFmtId="168" fontId="2" fillId="6" borderId="18" xfId="0" applyNumberFormat="1" applyFont="1" applyFill="1" applyBorder="1"/>
    <xf numFmtId="10" fontId="0" fillId="4" borderId="24" xfId="2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164" fontId="3" fillId="0" borderId="35" xfId="3" applyNumberFormat="1" applyBorder="1"/>
    <xf numFmtId="164" fontId="0" fillId="0" borderId="0" xfId="0" applyNumberFormat="1"/>
    <xf numFmtId="164" fontId="5" fillId="0" borderId="22" xfId="3" applyNumberFormat="1" applyFont="1" applyBorder="1"/>
    <xf numFmtId="164" fontId="5" fillId="0" borderId="21" xfId="3" applyNumberFormat="1" applyFont="1" applyBorder="1"/>
    <xf numFmtId="10" fontId="9" fillId="0" borderId="0" xfId="2" applyNumberFormat="1" applyFont="1" applyAlignment="1"/>
    <xf numFmtId="0" fontId="5" fillId="2" borderId="22" xfId="0" applyFont="1" applyFill="1" applyBorder="1" applyAlignment="1">
      <alignment horizontal="center" wrapText="1"/>
    </xf>
    <xf numFmtId="164" fontId="2" fillId="0" borderId="22" xfId="0" applyNumberFormat="1" applyFont="1" applyBorder="1"/>
    <xf numFmtId="3" fontId="5" fillId="6" borderId="22" xfId="3" applyNumberFormat="1" applyFont="1" applyFill="1" applyBorder="1"/>
    <xf numFmtId="3" fontId="2" fillId="6" borderId="22" xfId="0" applyNumberFormat="1" applyFont="1" applyFill="1" applyBorder="1"/>
    <xf numFmtId="3" fontId="0" fillId="0" borderId="0" xfId="0" applyNumberFormat="1"/>
    <xf numFmtId="168" fontId="3" fillId="6" borderId="35" xfId="1" applyNumberFormat="1" applyFont="1" applyFill="1" applyBorder="1"/>
    <xf numFmtId="166" fontId="3" fillId="0" borderId="32" xfId="3" applyNumberFormat="1" applyBorder="1"/>
    <xf numFmtId="164" fontId="3" fillId="0" borderId="50" xfId="3" applyNumberFormat="1" applyBorder="1"/>
    <xf numFmtId="166" fontId="3" fillId="0" borderId="15" xfId="3" applyNumberFormat="1" applyBorder="1"/>
    <xf numFmtId="166" fontId="3" fillId="0" borderId="18" xfId="3" applyNumberFormat="1" applyBorder="1"/>
    <xf numFmtId="1" fontId="0" fillId="0" borderId="4" xfId="0" applyNumberFormat="1" applyFont="1" applyFill="1" applyBorder="1"/>
    <xf numFmtId="1" fontId="0" fillId="0" borderId="32" xfId="0" applyNumberFormat="1" applyFont="1" applyFill="1" applyBorder="1"/>
    <xf numFmtId="1" fontId="0" fillId="0" borderId="42" xfId="0" applyNumberFormat="1" applyFont="1" applyFill="1" applyBorder="1"/>
    <xf numFmtId="1" fontId="0" fillId="0" borderId="15" xfId="0" applyNumberFormat="1" applyFont="1" applyFill="1" applyBorder="1"/>
    <xf numFmtId="1" fontId="0" fillId="0" borderId="8" xfId="0" applyNumberFormat="1" applyFont="1" applyFill="1" applyBorder="1"/>
    <xf numFmtId="1" fontId="0" fillId="0" borderId="18" xfId="0" applyNumberFormat="1" applyFont="1" applyFill="1" applyBorder="1"/>
    <xf numFmtId="164" fontId="5" fillId="0" borderId="31" xfId="3" applyNumberFormat="1" applyFont="1" applyBorder="1"/>
    <xf numFmtId="3" fontId="2" fillId="6" borderId="31" xfId="0" applyNumberFormat="1" applyFont="1" applyFill="1" applyBorder="1"/>
    <xf numFmtId="164" fontId="3" fillId="0" borderId="52" xfId="3" applyNumberFormat="1" applyBorder="1"/>
    <xf numFmtId="164" fontId="3" fillId="0" borderId="34" xfId="3" applyNumberFormat="1" applyBorder="1"/>
    <xf numFmtId="164" fontId="3" fillId="0" borderId="15" xfId="3" applyNumberFormat="1" applyBorder="1"/>
    <xf numFmtId="164" fontId="3" fillId="0" borderId="18" xfId="3" applyNumberFormat="1" applyBorder="1"/>
    <xf numFmtId="164" fontId="3" fillId="0" borderId="54" xfId="3" applyNumberFormat="1" applyBorder="1"/>
    <xf numFmtId="1" fontId="0" fillId="0" borderId="37" xfId="0" applyNumberFormat="1" applyFont="1" applyFill="1" applyBorder="1"/>
    <xf numFmtId="1" fontId="0" fillId="0" borderId="53" xfId="0" applyNumberFormat="1" applyFont="1" applyFill="1" applyBorder="1"/>
    <xf numFmtId="1" fontId="0" fillId="0" borderId="38" xfId="0" applyNumberFormat="1" applyFont="1" applyFill="1" applyBorder="1"/>
    <xf numFmtId="168" fontId="3" fillId="6" borderId="54" xfId="1" applyNumberFormat="1" applyFont="1" applyFill="1" applyBorder="1"/>
    <xf numFmtId="168" fontId="3" fillId="6" borderId="52" xfId="1" applyNumberFormat="1" applyFont="1" applyFill="1" applyBorder="1"/>
    <xf numFmtId="168" fontId="3" fillId="6" borderId="34" xfId="1" applyNumberFormat="1" applyFont="1" applyFill="1" applyBorder="1"/>
    <xf numFmtId="3" fontId="0" fillId="6" borderId="37" xfId="0" applyNumberFormat="1" applyFont="1" applyFill="1" applyBorder="1"/>
    <xf numFmtId="3" fontId="0" fillId="6" borderId="53" xfId="0" applyNumberFormat="1" applyFont="1" applyFill="1" applyBorder="1"/>
    <xf numFmtId="3" fontId="0" fillId="6" borderId="38" xfId="0" applyNumberFormat="1" applyFont="1" applyFill="1" applyBorder="1"/>
    <xf numFmtId="3" fontId="0" fillId="6" borderId="32" xfId="0" applyNumberFormat="1" applyFont="1" applyFill="1" applyBorder="1"/>
    <xf numFmtId="3" fontId="0" fillId="6" borderId="15" xfId="0" applyNumberFormat="1" applyFont="1" applyFill="1" applyBorder="1"/>
    <xf numFmtId="3" fontId="0" fillId="6" borderId="18" xfId="0" applyNumberFormat="1" applyFont="1" applyFill="1" applyBorder="1"/>
    <xf numFmtId="0" fontId="3" fillId="7" borderId="28" xfId="3" applyFont="1" applyFill="1" applyBorder="1" applyAlignment="1">
      <alignment vertical="center" wrapText="1"/>
    </xf>
    <xf numFmtId="168" fontId="0" fillId="7" borderId="54" xfId="1" applyNumberFormat="1" applyFont="1" applyFill="1" applyBorder="1"/>
    <xf numFmtId="168" fontId="0" fillId="7" borderId="55" xfId="1" applyNumberFormat="1" applyFont="1" applyFill="1" applyBorder="1"/>
    <xf numFmtId="168" fontId="0" fillId="7" borderId="58" xfId="1" applyNumberFormat="1" applyFont="1" applyFill="1" applyBorder="1"/>
    <xf numFmtId="2" fontId="0" fillId="7" borderId="4" xfId="0" applyNumberFormat="1" applyFill="1" applyBorder="1"/>
    <xf numFmtId="2" fontId="0" fillId="7" borderId="42" xfId="0" applyNumberFormat="1" applyFill="1" applyBorder="1"/>
    <xf numFmtId="2" fontId="0" fillId="7" borderId="8" xfId="0" applyNumberFormat="1" applyFill="1" applyBorder="1"/>
    <xf numFmtId="0" fontId="3" fillId="5" borderId="6" xfId="0" applyFont="1" applyFill="1" applyBorder="1"/>
    <xf numFmtId="164" fontId="3" fillId="5" borderId="30" xfId="0" applyNumberFormat="1" applyFont="1" applyFill="1" applyBorder="1"/>
    <xf numFmtId="164" fontId="3" fillId="5" borderId="4" xfId="0" applyNumberFormat="1" applyFont="1" applyFill="1" applyBorder="1"/>
    <xf numFmtId="0" fontId="2" fillId="5" borderId="18" xfId="0" applyFont="1" applyFill="1" applyBorder="1"/>
    <xf numFmtId="0" fontId="3" fillId="5" borderId="10" xfId="0" applyFont="1" applyFill="1" applyBorder="1"/>
    <xf numFmtId="164" fontId="3" fillId="5" borderId="27" xfId="0" applyNumberFormat="1" applyFont="1" applyFill="1" applyBorder="1"/>
    <xf numFmtId="164" fontId="3" fillId="5" borderId="33" xfId="0" applyNumberFormat="1" applyFont="1" applyFill="1" applyBorder="1"/>
    <xf numFmtId="164" fontId="0" fillId="5" borderId="18" xfId="0" applyNumberFormat="1" applyFill="1" applyBorder="1"/>
    <xf numFmtId="167" fontId="0" fillId="8" borderId="24" xfId="2" applyNumberFormat="1" applyFont="1" applyFill="1" applyBorder="1" applyAlignment="1">
      <alignment horizontal="left" vertical="center"/>
    </xf>
    <xf numFmtId="168" fontId="0" fillId="8" borderId="24" xfId="1" applyNumberFormat="1" applyFont="1" applyFill="1" applyBorder="1"/>
    <xf numFmtId="168" fontId="0" fillId="8" borderId="24" xfId="0" applyNumberFormat="1" applyFill="1" applyBorder="1"/>
    <xf numFmtId="164" fontId="0" fillId="5" borderId="4" xfId="0" applyNumberFormat="1" applyFill="1" applyBorder="1"/>
    <xf numFmtId="164" fontId="0" fillId="5" borderId="42" xfId="0" applyNumberFormat="1" applyFill="1" applyBorder="1"/>
    <xf numFmtId="164" fontId="0" fillId="5" borderId="8" xfId="0" applyNumberFormat="1" applyFill="1" applyBorder="1"/>
    <xf numFmtId="0" fontId="0" fillId="0" borderId="0" xfId="0" applyAlignment="1">
      <alignment horizontal="center" vertical="center"/>
    </xf>
    <xf numFmtId="8" fontId="0" fillId="4" borderId="24" xfId="1" applyNumberFormat="1" applyFont="1" applyFill="1" applyBorder="1" applyAlignment="1">
      <alignment horizontal="left" vertical="center"/>
    </xf>
    <xf numFmtId="168" fontId="3" fillId="6" borderId="32" xfId="1" applyNumberFormat="1" applyFont="1" applyFill="1" applyBorder="1"/>
    <xf numFmtId="168" fontId="3" fillId="6" borderId="15" xfId="1" applyNumberFormat="1" applyFont="1" applyFill="1" applyBorder="1"/>
    <xf numFmtId="168" fontId="3" fillId="6" borderId="18" xfId="1" applyNumberFormat="1" applyFont="1" applyFill="1" applyBorder="1"/>
    <xf numFmtId="0" fontId="2" fillId="5" borderId="36" xfId="0" applyFont="1" applyFill="1" applyBorder="1"/>
    <xf numFmtId="0" fontId="3" fillId="5" borderId="25" xfId="0" applyFont="1" applyFill="1" applyBorder="1"/>
    <xf numFmtId="164" fontId="3" fillId="5" borderId="59" xfId="0" applyNumberFormat="1" applyFont="1" applyFill="1" applyBorder="1"/>
    <xf numFmtId="0" fontId="2" fillId="5" borderId="22" xfId="0" applyFont="1" applyFill="1" applyBorder="1" applyAlignment="1">
      <alignment vertical="center" wrapText="1"/>
    </xf>
    <xf numFmtId="0" fontId="5" fillId="5" borderId="63" xfId="0" applyFont="1" applyFill="1" applyBorder="1" applyAlignment="1">
      <alignment vertical="center" wrapText="1"/>
    </xf>
    <xf numFmtId="164" fontId="5" fillId="5" borderId="64" xfId="0" applyNumberFormat="1" applyFont="1" applyFill="1" applyBorder="1" applyAlignment="1">
      <alignment vertical="center" wrapText="1"/>
    </xf>
    <xf numFmtId="164" fontId="5" fillId="5" borderId="19" xfId="0" applyNumberFormat="1" applyFont="1" applyFill="1" applyBorder="1" applyAlignment="1">
      <alignment vertical="center" wrapText="1"/>
    </xf>
    <xf numFmtId="164" fontId="5" fillId="5" borderId="22" xfId="0" applyNumberFormat="1" applyFont="1" applyFill="1" applyBorder="1" applyAlignment="1">
      <alignment vertical="center" wrapText="1"/>
    </xf>
    <xf numFmtId="164" fontId="3" fillId="5" borderId="32" xfId="0" applyNumberFormat="1" applyFont="1" applyFill="1" applyBorder="1"/>
    <xf numFmtId="164" fontId="3" fillId="5" borderId="15" xfId="0" applyNumberFormat="1" applyFont="1" applyFill="1" applyBorder="1"/>
    <xf numFmtId="164" fontId="3" fillId="5" borderId="18" xfId="0" applyNumberFormat="1" applyFont="1" applyFill="1" applyBorder="1"/>
    <xf numFmtId="0" fontId="0" fillId="0" borderId="24" xfId="0" applyBorder="1" applyAlignment="1">
      <alignment horizontal="center" vertical="center" wrapText="1"/>
    </xf>
    <xf numFmtId="0" fontId="5" fillId="2" borderId="32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center" wrapText="1"/>
    </xf>
    <xf numFmtId="0" fontId="5" fillId="2" borderId="36" xfId="3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9" fontId="2" fillId="0" borderId="27" xfId="0" applyNumberFormat="1" applyFont="1" applyBorder="1"/>
    <xf numFmtId="169" fontId="2" fillId="0" borderId="11" xfId="0" applyNumberFormat="1" applyFont="1" applyBorder="1"/>
    <xf numFmtId="0" fontId="2" fillId="0" borderId="7" xfId="0" applyFont="1" applyBorder="1"/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6" borderId="28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9" fontId="2" fillId="0" borderId="21" xfId="0" applyNumberFormat="1" applyFont="1" applyBorder="1"/>
    <xf numFmtId="0" fontId="2" fillId="0" borderId="0" xfId="0" applyFont="1" applyAlignment="1">
      <alignment wrapText="1"/>
    </xf>
    <xf numFmtId="168" fontId="0" fillId="7" borderId="37" xfId="0" applyNumberFormat="1" applyFill="1" applyBorder="1"/>
    <xf numFmtId="168" fontId="0" fillId="7" borderId="53" xfId="0" applyNumberFormat="1" applyFill="1" applyBorder="1"/>
    <xf numFmtId="168" fontId="0" fillId="7" borderId="38" xfId="0" applyNumberFormat="1" applyFill="1" applyBorder="1"/>
    <xf numFmtId="168" fontId="0" fillId="7" borderId="32" xfId="0" applyNumberFormat="1" applyFill="1" applyBorder="1"/>
    <xf numFmtId="168" fontId="0" fillId="7" borderId="15" xfId="0" applyNumberFormat="1" applyFill="1" applyBorder="1"/>
    <xf numFmtId="168" fontId="0" fillId="7" borderId="18" xfId="0" applyNumberFormat="1" applyFill="1" applyBorder="1"/>
    <xf numFmtId="170" fontId="0" fillId="7" borderId="4" xfId="0" applyNumberFormat="1" applyFill="1" applyBorder="1"/>
    <xf numFmtId="170" fontId="0" fillId="7" borderId="32" xfId="0" applyNumberFormat="1" applyFill="1" applyBorder="1"/>
    <xf numFmtId="170" fontId="0" fillId="7" borderId="42" xfId="0" applyNumberFormat="1" applyFill="1" applyBorder="1"/>
    <xf numFmtId="170" fontId="0" fillId="7" borderId="15" xfId="0" applyNumberFormat="1" applyFill="1" applyBorder="1"/>
    <xf numFmtId="170" fontId="0" fillId="7" borderId="8" xfId="0" applyNumberFormat="1" applyFill="1" applyBorder="1"/>
    <xf numFmtId="170" fontId="0" fillId="7" borderId="18" xfId="0" applyNumberFormat="1" applyFill="1" applyBorder="1"/>
    <xf numFmtId="0" fontId="2" fillId="0" borderId="4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9" fontId="0" fillId="0" borderId="17" xfId="0" applyNumberFormat="1" applyBorder="1"/>
    <xf numFmtId="9" fontId="0" fillId="6" borderId="19" xfId="0" applyNumberFormat="1" applyFill="1" applyBorder="1"/>
    <xf numFmtId="9" fontId="0" fillId="6" borderId="21" xfId="0" applyNumberFormat="1" applyFill="1" applyBorder="1"/>
    <xf numFmtId="166" fontId="0" fillId="4" borderId="24" xfId="1" applyNumberFormat="1" applyFont="1" applyFill="1" applyBorder="1" applyAlignment="1">
      <alignment horizontal="left" vertical="center"/>
    </xf>
    <xf numFmtId="6" fontId="11" fillId="0" borderId="0" xfId="0" applyNumberFormat="1" applyFont="1"/>
    <xf numFmtId="164" fontId="5" fillId="6" borderId="32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/>
    <xf numFmtId="0" fontId="5" fillId="6" borderId="6" xfId="3" applyFont="1" applyFill="1" applyBorder="1" applyAlignment="1">
      <alignment vertical="center" wrapText="1"/>
    </xf>
    <xf numFmtId="0" fontId="5" fillId="6" borderId="4" xfId="3" applyFont="1" applyFill="1" applyBorder="1" applyAlignment="1">
      <alignment vertical="center" wrapText="1"/>
    </xf>
    <xf numFmtId="3" fontId="0" fillId="6" borderId="24" xfId="0" applyNumberFormat="1" applyFont="1" applyFill="1" applyBorder="1"/>
    <xf numFmtId="164" fontId="3" fillId="6" borderId="24" xfId="3" applyNumberFormat="1" applyFill="1" applyBorder="1"/>
    <xf numFmtId="0" fontId="5" fillId="6" borderId="30" xfId="3" applyFont="1" applyFill="1" applyBorder="1" applyAlignment="1">
      <alignment vertical="center" wrapText="1"/>
    </xf>
    <xf numFmtId="0" fontId="5" fillId="6" borderId="30" xfId="3" applyFont="1" applyFill="1" applyBorder="1" applyAlignment="1">
      <alignment horizontal="center" vertical="center" wrapText="1"/>
    </xf>
    <xf numFmtId="164" fontId="5" fillId="6" borderId="30" xfId="3" applyNumberFormat="1" applyFont="1" applyFill="1" applyBorder="1" applyAlignment="1">
      <alignment horizontal="center" vertical="center" wrapText="1"/>
    </xf>
    <xf numFmtId="164" fontId="5" fillId="6" borderId="7" xfId="3" applyNumberFormat="1" applyFont="1" applyFill="1" applyBorder="1" applyAlignment="1">
      <alignment horizontal="center" vertical="center" wrapText="1"/>
    </xf>
    <xf numFmtId="0" fontId="2" fillId="6" borderId="16" xfId="0" applyFont="1" applyFill="1" applyBorder="1"/>
    <xf numFmtId="164" fontId="3" fillId="6" borderId="17" xfId="3" applyNumberFormat="1" applyFill="1" applyBorder="1"/>
    <xf numFmtId="164" fontId="5" fillId="6" borderId="27" xfId="3" applyNumberFormat="1" applyFont="1" applyFill="1" applyBorder="1"/>
    <xf numFmtId="164" fontId="5" fillId="6" borderId="11" xfId="3" applyNumberFormat="1" applyFont="1" applyFill="1" applyBorder="1"/>
    <xf numFmtId="0" fontId="5" fillId="6" borderId="32" xfId="3" applyFont="1" applyFill="1" applyBorder="1" applyAlignment="1">
      <alignment vertical="center" wrapText="1"/>
    </xf>
    <xf numFmtId="164" fontId="5" fillId="6" borderId="18" xfId="3" applyNumberFormat="1" applyFont="1" applyFill="1" applyBorder="1"/>
    <xf numFmtId="0" fontId="5" fillId="6" borderId="7" xfId="3" applyFont="1" applyFill="1" applyBorder="1" applyAlignment="1">
      <alignment vertical="center" wrapText="1"/>
    </xf>
    <xf numFmtId="164" fontId="5" fillId="6" borderId="6" xfId="3" applyNumberFormat="1" applyFont="1" applyFill="1" applyBorder="1" applyAlignment="1">
      <alignment horizontal="center" vertical="center" wrapText="1"/>
    </xf>
    <xf numFmtId="3" fontId="5" fillId="6" borderId="18" xfId="3" applyNumberFormat="1" applyFont="1" applyFill="1" applyBorder="1"/>
    <xf numFmtId="0" fontId="5" fillId="6" borderId="41" xfId="3" applyFont="1" applyFill="1" applyBorder="1" applyAlignment="1">
      <alignment vertical="center" wrapText="1"/>
    </xf>
    <xf numFmtId="0" fontId="5" fillId="6" borderId="43" xfId="3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6" fontId="13" fillId="0" borderId="24" xfId="0" applyNumberFormat="1" applyFont="1" applyBorder="1" applyAlignment="1">
      <alignment horizontal="center" vertical="center"/>
    </xf>
    <xf numFmtId="6" fontId="14" fillId="0" borderId="24" xfId="0" applyNumberFormat="1" applyFont="1" applyBorder="1" applyAlignment="1">
      <alignment horizontal="center" vertical="center"/>
    </xf>
    <xf numFmtId="2" fontId="14" fillId="0" borderId="27" xfId="0" applyNumberFormat="1" applyFont="1" applyBorder="1" applyAlignment="1">
      <alignment horizontal="center" vertical="center"/>
    </xf>
    <xf numFmtId="0" fontId="12" fillId="6" borderId="15" xfId="0" applyFont="1" applyFill="1" applyBorder="1"/>
    <xf numFmtId="3" fontId="11" fillId="6" borderId="16" xfId="0" applyNumberFormat="1" applyFont="1" applyFill="1" applyBorder="1"/>
    <xf numFmtId="3" fontId="11" fillId="6" borderId="17" xfId="0" applyNumberFormat="1" applyFont="1" applyFill="1" applyBorder="1"/>
    <xf numFmtId="3" fontId="11" fillId="6" borderId="24" xfId="0" applyNumberFormat="1" applyFont="1" applyFill="1" applyBorder="1"/>
    <xf numFmtId="3" fontId="11" fillId="6" borderId="15" xfId="0" applyNumberFormat="1" applyFont="1" applyFill="1" applyBorder="1"/>
    <xf numFmtId="3" fontId="12" fillId="6" borderId="10" xfId="0" applyNumberFormat="1" applyFont="1" applyFill="1" applyBorder="1"/>
    <xf numFmtId="3" fontId="12" fillId="6" borderId="11" xfId="0" applyNumberFormat="1" applyFont="1" applyFill="1" applyBorder="1"/>
    <xf numFmtId="3" fontId="12" fillId="6" borderId="27" xfId="0" applyNumberFormat="1" applyFont="1" applyFill="1" applyBorder="1"/>
    <xf numFmtId="3" fontId="12" fillId="6" borderId="18" xfId="0" applyNumberFormat="1" applyFont="1" applyFill="1" applyBorder="1"/>
    <xf numFmtId="0" fontId="11" fillId="0" borderId="0" xfId="0" applyFont="1" applyAlignment="1">
      <alignment horizontal="center" vertical="center" wrapText="1"/>
    </xf>
    <xf numFmtId="168" fontId="11" fillId="6" borderId="24" xfId="1" applyNumberFormat="1" applyFont="1" applyFill="1" applyBorder="1"/>
    <xf numFmtId="168" fontId="11" fillId="6" borderId="17" xfId="1" applyNumberFormat="1" applyFont="1" applyFill="1" applyBorder="1"/>
    <xf numFmtId="168" fontId="11" fillId="6" borderId="15" xfId="1" applyNumberFormat="1" applyFont="1" applyFill="1" applyBorder="1"/>
    <xf numFmtId="168" fontId="11" fillId="6" borderId="16" xfId="1" applyNumberFormat="1" applyFont="1" applyFill="1" applyBorder="1"/>
    <xf numFmtId="168" fontId="12" fillId="6" borderId="27" xfId="1" applyNumberFormat="1" applyFont="1" applyFill="1" applyBorder="1"/>
    <xf numFmtId="168" fontId="12" fillId="6" borderId="11" xfId="1" applyNumberFormat="1" applyFont="1" applyFill="1" applyBorder="1"/>
    <xf numFmtId="168" fontId="12" fillId="6" borderId="18" xfId="1" applyNumberFormat="1" applyFont="1" applyFill="1" applyBorder="1"/>
    <xf numFmtId="168" fontId="12" fillId="6" borderId="10" xfId="1" applyNumberFormat="1" applyFont="1" applyFill="1" applyBorder="1"/>
    <xf numFmtId="9" fontId="11" fillId="6" borderId="19" xfId="0" applyNumberFormat="1" applyFont="1" applyFill="1" applyBorder="1"/>
    <xf numFmtId="9" fontId="11" fillId="6" borderId="21" xfId="0" applyNumberFormat="1" applyFont="1" applyFill="1" applyBorder="1"/>
    <xf numFmtId="0" fontId="12" fillId="6" borderId="28" xfId="0" applyFont="1" applyFill="1" applyBorder="1" applyAlignment="1">
      <alignment vertical="center" wrapText="1"/>
    </xf>
    <xf numFmtId="168" fontId="11" fillId="6" borderId="15" xfId="0" applyNumberFormat="1" applyFont="1" applyFill="1" applyBorder="1"/>
    <xf numFmtId="168" fontId="12" fillId="6" borderId="18" xfId="0" applyNumberFormat="1" applyFont="1" applyFill="1" applyBorder="1"/>
    <xf numFmtId="164" fontId="3" fillId="5" borderId="17" xfId="0" applyNumberFormat="1" applyFont="1" applyFill="1" applyBorder="1"/>
    <xf numFmtId="164" fontId="5" fillId="5" borderId="27" xfId="0" applyNumberFormat="1" applyFont="1" applyFill="1" applyBorder="1" applyAlignment="1">
      <alignment vertical="center" wrapText="1"/>
    </xf>
    <xf numFmtId="164" fontId="5" fillId="5" borderId="11" xfId="0" applyNumberFormat="1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center"/>
    </xf>
    <xf numFmtId="164" fontId="5" fillId="5" borderId="17" xfId="0" applyNumberFormat="1" applyFont="1" applyFill="1" applyBorder="1" applyAlignment="1">
      <alignment horizontal="center"/>
    </xf>
    <xf numFmtId="0" fontId="5" fillId="5" borderId="10" xfId="0" applyFont="1" applyFill="1" applyBorder="1" applyAlignment="1">
      <alignment vertical="center" wrapText="1"/>
    </xf>
    <xf numFmtId="164" fontId="3" fillId="5" borderId="47" xfId="0" applyNumberFormat="1" applyFont="1" applyFill="1" applyBorder="1"/>
    <xf numFmtId="164" fontId="5" fillId="5" borderId="68" xfId="0" applyNumberFormat="1" applyFont="1" applyFill="1" applyBorder="1" applyAlignment="1">
      <alignment vertical="center" wrapText="1"/>
    </xf>
    <xf numFmtId="164" fontId="3" fillId="5" borderId="16" xfId="0" applyNumberFormat="1" applyFont="1" applyFill="1" applyBorder="1"/>
    <xf numFmtId="164" fontId="5" fillId="5" borderId="10" xfId="0" applyNumberFormat="1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67" xfId="0" applyFont="1" applyFill="1" applyBorder="1" applyAlignment="1">
      <alignment horizontal="center" wrapText="1"/>
    </xf>
    <xf numFmtId="0" fontId="5" fillId="5" borderId="47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 wrapText="1"/>
    </xf>
    <xf numFmtId="0" fontId="5" fillId="5" borderId="30" xfId="0" applyFont="1" applyFill="1" applyBorder="1" applyAlignment="1">
      <alignment horizontal="center" wrapText="1"/>
    </xf>
    <xf numFmtId="0" fontId="5" fillId="5" borderId="24" xfId="0" applyFont="1" applyFill="1" applyBorder="1" applyAlignment="1">
      <alignment horizontal="center" wrapText="1"/>
    </xf>
    <xf numFmtId="0" fontId="5" fillId="6" borderId="28" xfId="3" applyFont="1" applyFill="1" applyBorder="1" applyAlignment="1">
      <alignment horizontal="center" vertical="center" wrapText="1"/>
    </xf>
    <xf numFmtId="0" fontId="5" fillId="6" borderId="12" xfId="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8" fillId="5" borderId="63" xfId="0" applyFont="1" applyFill="1" applyBorder="1" applyAlignment="1">
      <alignment horizontal="center"/>
    </xf>
    <xf numFmtId="0" fontId="8" fillId="5" borderId="64" xfId="0" applyFont="1" applyFill="1" applyBorder="1" applyAlignment="1">
      <alignment horizontal="center"/>
    </xf>
    <xf numFmtId="0" fontId="8" fillId="5" borderId="69" xfId="0" applyFont="1" applyFill="1" applyBorder="1" applyAlignment="1">
      <alignment horizontal="center"/>
    </xf>
    <xf numFmtId="0" fontId="12" fillId="6" borderId="28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0" fontId="8" fillId="6" borderId="63" xfId="3" applyFont="1" applyFill="1" applyBorder="1" applyAlignment="1">
      <alignment horizontal="center"/>
    </xf>
    <xf numFmtId="0" fontId="8" fillId="6" borderId="64" xfId="3" applyFont="1" applyFill="1" applyBorder="1" applyAlignment="1">
      <alignment horizontal="center"/>
    </xf>
    <xf numFmtId="0" fontId="8" fillId="6" borderId="69" xfId="3" applyFont="1" applyFill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168" fontId="11" fillId="0" borderId="60" xfId="1" applyNumberFormat="1" applyFont="1" applyBorder="1" applyAlignment="1">
      <alignment horizontal="center" vertical="center"/>
    </xf>
    <xf numFmtId="168" fontId="11" fillId="0" borderId="62" xfId="1" applyNumberFormat="1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6" borderId="19" xfId="3" applyFont="1" applyFill="1" applyBorder="1" applyAlignment="1">
      <alignment horizontal="center"/>
    </xf>
    <xf numFmtId="0" fontId="8" fillId="6" borderId="20" xfId="3" applyFont="1" applyFill="1" applyBorder="1" applyAlignment="1">
      <alignment horizontal="center"/>
    </xf>
    <xf numFmtId="0" fontId="8" fillId="6" borderId="21" xfId="3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7" xfId="0" applyBorder="1" applyAlignment="1">
      <alignment horizontal="center"/>
    </xf>
    <xf numFmtId="164" fontId="5" fillId="2" borderId="32" xfId="3" applyNumberFormat="1" applyFont="1" applyFill="1" applyBorder="1" applyAlignment="1">
      <alignment horizontal="center" vertical="center" wrapText="1"/>
    </xf>
    <xf numFmtId="164" fontId="5" fillId="2" borderId="18" xfId="3" applyNumberFormat="1" applyFont="1" applyFill="1" applyBorder="1" applyAlignment="1">
      <alignment horizontal="center" vertical="center" wrapText="1"/>
    </xf>
    <xf numFmtId="0" fontId="8" fillId="0" borderId="33" xfId="3" applyFont="1" applyBorder="1" applyAlignment="1">
      <alignment horizontal="center"/>
    </xf>
    <xf numFmtId="0" fontId="8" fillId="0" borderId="34" xfId="3" applyFont="1" applyBorder="1" applyAlignment="1">
      <alignment horizontal="center"/>
    </xf>
    <xf numFmtId="0" fontId="0" fillId="4" borderId="24" xfId="0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/>
    </xf>
    <xf numFmtId="0" fontId="0" fillId="4" borderId="24" xfId="0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25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5" fillId="2" borderId="57" xfId="3" applyFont="1" applyFill="1" applyBorder="1" applyAlignment="1">
      <alignment horizontal="center" vertical="center" wrapText="1"/>
    </xf>
    <xf numFmtId="164" fontId="5" fillId="2" borderId="37" xfId="3" applyNumberFormat="1" applyFont="1" applyFill="1" applyBorder="1" applyAlignment="1">
      <alignment horizontal="center" vertical="center" wrapText="1"/>
    </xf>
    <xf numFmtId="164" fontId="5" fillId="2" borderId="56" xfId="3" applyNumberFormat="1" applyFont="1" applyFill="1" applyBorder="1" applyAlignment="1">
      <alignment horizontal="center" vertical="center" wrapText="1"/>
    </xf>
    <xf numFmtId="0" fontId="8" fillId="0" borderId="19" xfId="3" applyFont="1" applyBorder="1" applyAlignment="1">
      <alignment horizontal="center"/>
    </xf>
    <xf numFmtId="0" fontId="8" fillId="0" borderId="20" xfId="3" applyFont="1" applyBorder="1" applyAlignment="1">
      <alignment horizontal="center"/>
    </xf>
    <xf numFmtId="0" fontId="8" fillId="0" borderId="21" xfId="3" applyFont="1" applyBorder="1" applyAlignment="1">
      <alignment horizontal="center"/>
    </xf>
    <xf numFmtId="0" fontId="5" fillId="2" borderId="41" xfId="3" applyFont="1" applyFill="1" applyBorder="1" applyAlignment="1">
      <alignment horizontal="center" vertical="center" wrapText="1"/>
    </xf>
    <xf numFmtId="0" fontId="5" fillId="2" borderId="26" xfId="3" applyFont="1" applyFill="1" applyBorder="1" applyAlignment="1">
      <alignment horizontal="center" vertical="center" wrapText="1"/>
    </xf>
    <xf numFmtId="0" fontId="5" fillId="2" borderId="32" xfId="3" applyFont="1" applyFill="1" applyBorder="1" applyAlignment="1">
      <alignment horizontal="center" vertical="center" wrapText="1"/>
    </xf>
    <xf numFmtId="0" fontId="5" fillId="2" borderId="36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center" wrapText="1"/>
    </xf>
    <xf numFmtId="0" fontId="5" fillId="2" borderId="43" xfId="3" applyFont="1" applyFill="1" applyBorder="1" applyAlignment="1">
      <alignment horizontal="center" vertical="center" wrapText="1"/>
    </xf>
    <xf numFmtId="0" fontId="5" fillId="2" borderId="39" xfId="3" applyFont="1" applyFill="1" applyBorder="1" applyAlignment="1">
      <alignment horizontal="center" vertical="center" wrapText="1"/>
    </xf>
    <xf numFmtId="0" fontId="8" fillId="6" borderId="33" xfId="3" applyFont="1" applyFill="1" applyBorder="1" applyAlignment="1">
      <alignment horizontal="center"/>
    </xf>
    <xf numFmtId="0" fontId="8" fillId="6" borderId="34" xfId="3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2" xfId="0" applyBorder="1" applyAlignment="1">
      <alignment horizontal="left"/>
    </xf>
    <xf numFmtId="0" fontId="10" fillId="6" borderId="33" xfId="0" applyFont="1" applyFill="1" applyBorder="1" applyAlignment="1">
      <alignment horizontal="center"/>
    </xf>
    <xf numFmtId="0" fontId="10" fillId="6" borderId="34" xfId="0" applyFont="1" applyFill="1" applyBorder="1" applyAlignment="1">
      <alignment horizontal="center"/>
    </xf>
    <xf numFmtId="0" fontId="5" fillId="7" borderId="51" xfId="3" applyFont="1" applyFill="1" applyBorder="1" applyAlignment="1">
      <alignment horizontal="center" vertical="center" wrapText="1"/>
    </xf>
    <xf numFmtId="0" fontId="5" fillId="7" borderId="46" xfId="3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6" fontId="0" fillId="0" borderId="27" xfId="0" applyNumberFormat="1" applyBorder="1" applyAlignment="1">
      <alignment horizontal="center"/>
    </xf>
    <xf numFmtId="6" fontId="0" fillId="0" borderId="11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6" fontId="2" fillId="0" borderId="30" xfId="0" applyNumberFormat="1" applyFont="1" applyBorder="1" applyAlignment="1">
      <alignment horizontal="center" vertical="center"/>
    </xf>
    <xf numFmtId="6" fontId="2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6" fontId="0" fillId="0" borderId="24" xfId="0" applyNumberFormat="1" applyBorder="1" applyAlignment="1">
      <alignment horizontal="center"/>
    </xf>
    <xf numFmtId="6" fontId="0" fillId="0" borderId="17" xfId="0" applyNumberForma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wrapText="1"/>
    </xf>
    <xf numFmtId="0" fontId="5" fillId="5" borderId="36" xfId="0" applyFont="1" applyFill="1" applyBorder="1" applyAlignment="1">
      <alignment horizontal="center" wrapText="1"/>
    </xf>
    <xf numFmtId="0" fontId="8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 wrapText="1"/>
    </xf>
    <xf numFmtId="0" fontId="5" fillId="5" borderId="49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32" xfId="0" applyFont="1" applyFill="1" applyBorder="1" applyAlignment="1">
      <alignment horizontal="center" wrapText="1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6" fontId="13" fillId="0" borderId="45" xfId="0" applyNumberFormat="1" applyFont="1" applyBorder="1" applyAlignment="1">
      <alignment horizontal="center" vertical="center"/>
    </xf>
    <xf numFmtId="6" fontId="14" fillId="0" borderId="45" xfId="0" applyNumberFormat="1" applyFont="1" applyBorder="1" applyAlignment="1">
      <alignment horizontal="center" vertical="center"/>
    </xf>
    <xf numFmtId="2" fontId="14" fillId="0" borderId="70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6" fontId="14" fillId="5" borderId="17" xfId="0" applyNumberFormat="1" applyFont="1" applyFill="1" applyBorder="1" applyAlignment="1">
      <alignment horizontal="center" vertical="center"/>
    </xf>
    <xf numFmtId="2" fontId="14" fillId="5" borderId="11" xfId="0" applyNumberFormat="1" applyFont="1" applyFill="1" applyBorder="1" applyAlignment="1">
      <alignment horizontal="center" vertical="center"/>
    </xf>
    <xf numFmtId="6" fontId="13" fillId="5" borderId="17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6" fontId="13" fillId="0" borderId="23" xfId="0" applyNumberFormat="1" applyFont="1" applyBorder="1" applyAlignment="1">
      <alignment horizontal="center" vertical="center"/>
    </xf>
    <xf numFmtId="6" fontId="13" fillId="0" borderId="62" xfId="0" applyNumberFormat="1" applyFont="1" applyBorder="1" applyAlignment="1">
      <alignment horizontal="center" vertical="center"/>
    </xf>
    <xf numFmtId="6" fontId="13" fillId="5" borderId="14" xfId="0" applyNumberFormat="1" applyFont="1" applyFill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opLeftCell="B1" workbookViewId="0">
      <selection activeCell="G19" sqref="G19"/>
    </sheetView>
  </sheetViews>
  <sheetFormatPr defaultColWidth="9.109375" defaultRowHeight="13.8" x14ac:dyDescent="0.3"/>
  <cols>
    <col min="1" max="1" width="14.6640625" style="259" customWidth="1"/>
    <col min="2" max="2" width="28.109375" style="259" customWidth="1"/>
    <col min="3" max="6" width="20.6640625" style="259" customWidth="1"/>
    <col min="7" max="7" width="23.5546875" style="259" customWidth="1"/>
    <col min="8" max="9" width="20.6640625" style="259" customWidth="1"/>
    <col min="10" max="10" width="22.88671875" style="259" customWidth="1"/>
    <col min="11" max="11" width="22.33203125" style="259" customWidth="1"/>
    <col min="12" max="12" width="22.6640625" style="259" customWidth="1"/>
    <col min="13" max="16384" width="9.109375" style="259"/>
  </cols>
  <sheetData>
    <row r="1" spans="1:12" ht="14.25" x14ac:dyDescent="0.25">
      <c r="A1" s="327" t="s">
        <v>109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2" ht="30" x14ac:dyDescent="0.25">
      <c r="A2" s="333" t="s">
        <v>101</v>
      </c>
      <c r="B2" s="333"/>
      <c r="C2" s="333" t="s">
        <v>102</v>
      </c>
      <c r="D2" s="333"/>
      <c r="E2" s="333" t="s">
        <v>103</v>
      </c>
      <c r="F2" s="333"/>
      <c r="G2" s="260" t="s">
        <v>104</v>
      </c>
      <c r="H2" s="333" t="s">
        <v>105</v>
      </c>
      <c r="I2" s="333"/>
      <c r="J2" s="260" t="s">
        <v>210</v>
      </c>
      <c r="K2" s="260" t="s">
        <v>209</v>
      </c>
      <c r="L2" s="260" t="s">
        <v>106</v>
      </c>
    </row>
    <row r="3" spans="1:12" x14ac:dyDescent="0.3">
      <c r="A3" s="328" t="s">
        <v>110</v>
      </c>
      <c r="B3" s="328"/>
      <c r="C3" s="328" t="s">
        <v>111</v>
      </c>
      <c r="D3" s="328"/>
      <c r="E3" s="328" t="s">
        <v>115</v>
      </c>
      <c r="F3" s="328"/>
      <c r="G3" s="327" t="s">
        <v>116</v>
      </c>
      <c r="H3" s="329" t="s">
        <v>107</v>
      </c>
      <c r="I3" s="330"/>
      <c r="J3" s="334">
        <f>D15</f>
        <v>118532231.79811235</v>
      </c>
      <c r="K3" s="334">
        <f>E15</f>
        <v>175646512.23116267</v>
      </c>
      <c r="L3" s="336" t="s">
        <v>211</v>
      </c>
    </row>
    <row r="4" spans="1:12" x14ac:dyDescent="0.3">
      <c r="A4" s="328"/>
      <c r="B4" s="328"/>
      <c r="C4" s="328"/>
      <c r="D4" s="328"/>
      <c r="E4" s="328"/>
      <c r="F4" s="328"/>
      <c r="G4" s="327"/>
      <c r="H4" s="331"/>
      <c r="I4" s="332"/>
      <c r="J4" s="335"/>
      <c r="K4" s="335"/>
      <c r="L4" s="337"/>
    </row>
    <row r="5" spans="1:12" x14ac:dyDescent="0.3">
      <c r="A5" s="328"/>
      <c r="B5" s="328"/>
      <c r="C5" s="328"/>
      <c r="D5" s="328"/>
      <c r="E5" s="328"/>
      <c r="F5" s="328"/>
      <c r="G5" s="327"/>
      <c r="H5" s="329" t="s">
        <v>112</v>
      </c>
      <c r="I5" s="330"/>
      <c r="J5" s="334">
        <f>D16</f>
        <v>6551511.3131950488</v>
      </c>
      <c r="K5" s="334">
        <f>E16</f>
        <v>9708330.7599042449</v>
      </c>
      <c r="L5" s="336" t="s">
        <v>212</v>
      </c>
    </row>
    <row r="6" spans="1:12" x14ac:dyDescent="0.3">
      <c r="A6" s="328"/>
      <c r="B6" s="328"/>
      <c r="C6" s="328"/>
      <c r="D6" s="328"/>
      <c r="E6" s="328"/>
      <c r="F6" s="328"/>
      <c r="G6" s="327"/>
      <c r="H6" s="331"/>
      <c r="I6" s="332"/>
      <c r="J6" s="335"/>
      <c r="K6" s="335"/>
      <c r="L6" s="337"/>
    </row>
    <row r="7" spans="1:12" x14ac:dyDescent="0.3">
      <c r="A7" s="328"/>
      <c r="B7" s="328"/>
      <c r="C7" s="328"/>
      <c r="D7" s="328"/>
      <c r="E7" s="328"/>
      <c r="F7" s="328"/>
      <c r="G7" s="327"/>
      <c r="H7" s="329" t="s">
        <v>113</v>
      </c>
      <c r="I7" s="330"/>
      <c r="J7" s="334">
        <f>D17+D18</f>
        <v>6655796.107822299</v>
      </c>
      <c r="K7" s="334">
        <f>E17+E18</f>
        <v>8690817.0717895068</v>
      </c>
      <c r="L7" s="336" t="s">
        <v>213</v>
      </c>
    </row>
    <row r="8" spans="1:12" x14ac:dyDescent="0.3">
      <c r="A8" s="328"/>
      <c r="B8" s="328"/>
      <c r="C8" s="328"/>
      <c r="D8" s="328"/>
      <c r="E8" s="328"/>
      <c r="F8" s="328"/>
      <c r="G8" s="327"/>
      <c r="H8" s="331" t="s">
        <v>108</v>
      </c>
      <c r="I8" s="332"/>
      <c r="J8" s="335" t="s">
        <v>108</v>
      </c>
      <c r="K8" s="335" t="s">
        <v>108</v>
      </c>
      <c r="L8" s="337"/>
    </row>
    <row r="9" spans="1:12" x14ac:dyDescent="0.3">
      <c r="A9" s="328"/>
      <c r="B9" s="328"/>
      <c r="C9" s="328"/>
      <c r="D9" s="328"/>
      <c r="E9" s="328"/>
      <c r="F9" s="328"/>
      <c r="G9" s="327"/>
      <c r="H9" s="329" t="s">
        <v>114</v>
      </c>
      <c r="I9" s="330"/>
      <c r="J9" s="334">
        <f>D19</f>
        <v>3252042.8178334925</v>
      </c>
      <c r="K9" s="334">
        <f>E19</f>
        <v>4399030.0521169351</v>
      </c>
      <c r="L9" s="336" t="s">
        <v>214</v>
      </c>
    </row>
    <row r="10" spans="1:12" x14ac:dyDescent="0.3">
      <c r="A10" s="328"/>
      <c r="B10" s="328"/>
      <c r="C10" s="328"/>
      <c r="D10" s="328"/>
      <c r="E10" s="328"/>
      <c r="F10" s="328"/>
      <c r="G10" s="327"/>
      <c r="H10" s="331" t="s">
        <v>108</v>
      </c>
      <c r="I10" s="332"/>
      <c r="J10" s="335" t="s">
        <v>108</v>
      </c>
      <c r="K10" s="335" t="s">
        <v>108</v>
      </c>
      <c r="L10" s="337"/>
    </row>
    <row r="12" spans="1:12" ht="15" thickBot="1" x14ac:dyDescent="0.3"/>
    <row r="13" spans="1:12" ht="15.6" thickBot="1" x14ac:dyDescent="0.35">
      <c r="B13" s="344"/>
      <c r="C13" s="345"/>
      <c r="D13" s="345"/>
      <c r="E13" s="346"/>
    </row>
    <row r="14" spans="1:12" ht="16.2" thickBot="1" x14ac:dyDescent="0.35">
      <c r="B14" s="526" t="s">
        <v>95</v>
      </c>
      <c r="C14" s="527"/>
      <c r="D14" s="528" t="s">
        <v>97</v>
      </c>
      <c r="E14" s="529" t="s">
        <v>96</v>
      </c>
      <c r="F14" s="529" t="s">
        <v>224</v>
      </c>
    </row>
    <row r="15" spans="1:12" ht="15" x14ac:dyDescent="0.3">
      <c r="B15" s="521" t="s">
        <v>98</v>
      </c>
      <c r="C15" s="522"/>
      <c r="D15" s="523">
        <f>J51</f>
        <v>118532231.79811235</v>
      </c>
      <c r="E15" s="524">
        <f>K51</f>
        <v>175646512.23116267</v>
      </c>
      <c r="F15" s="525">
        <f>I51</f>
        <v>250850406.14121768</v>
      </c>
    </row>
    <row r="16" spans="1:12" ht="15" x14ac:dyDescent="0.3">
      <c r="B16" s="340" t="s">
        <v>67</v>
      </c>
      <c r="C16" s="341"/>
      <c r="D16" s="261">
        <f>I81</f>
        <v>6551511.3131950488</v>
      </c>
      <c r="E16" s="514">
        <f>J81</f>
        <v>9708330.7599042449</v>
      </c>
      <c r="F16" s="520">
        <f>H81</f>
        <v>13864998.986545129</v>
      </c>
    </row>
    <row r="17" spans="2:11" ht="15" x14ac:dyDescent="0.3">
      <c r="B17" s="340" t="s">
        <v>220</v>
      </c>
      <c r="C17" s="341"/>
      <c r="D17" s="261">
        <f>E112</f>
        <v>2432411.4343913901</v>
      </c>
      <c r="E17" s="514">
        <f>F112</f>
        <v>2432411.4343913901</v>
      </c>
      <c r="F17" s="520">
        <f>D112</f>
        <v>5495340.4476306755</v>
      </c>
    </row>
    <row r="18" spans="2:11" ht="15" x14ac:dyDescent="0.3">
      <c r="B18" s="340" t="s">
        <v>221</v>
      </c>
      <c r="C18" s="341"/>
      <c r="D18" s="261">
        <f>I112</f>
        <v>4223384.6734309085</v>
      </c>
      <c r="E18" s="514">
        <f>J112</f>
        <v>6258405.6373981172</v>
      </c>
      <c r="F18" s="520">
        <f>H112</f>
        <v>14433312.37770623</v>
      </c>
    </row>
    <row r="19" spans="2:11" ht="15" x14ac:dyDescent="0.3">
      <c r="B19" s="340" t="s">
        <v>99</v>
      </c>
      <c r="C19" s="341"/>
      <c r="D19" s="261">
        <f>H144</f>
        <v>3252042.8178334925</v>
      </c>
      <c r="E19" s="514">
        <f>I144</f>
        <v>4399030.0521169351</v>
      </c>
      <c r="F19" s="520">
        <f>G144</f>
        <v>5816096</v>
      </c>
    </row>
    <row r="20" spans="2:11" ht="15.6" x14ac:dyDescent="0.3">
      <c r="B20" s="342" t="s">
        <v>68</v>
      </c>
      <c r="C20" s="343"/>
      <c r="D20" s="262">
        <f>SUM(D15:D19)</f>
        <v>134991582.03696319</v>
      </c>
      <c r="E20" s="515">
        <f>SUM(E15:E19)</f>
        <v>198444690.11497334</v>
      </c>
      <c r="F20" s="518">
        <f>SUM(F15:F19)</f>
        <v>290460153.95309973</v>
      </c>
    </row>
    <row r="21" spans="2:11" ht="15.6" x14ac:dyDescent="0.3">
      <c r="B21" s="342" t="s">
        <v>70</v>
      </c>
      <c r="C21" s="343"/>
      <c r="D21" s="262">
        <f>G175</f>
        <v>94689331.793002635</v>
      </c>
      <c r="E21" s="515">
        <f>H175</f>
        <v>108155265.72167553</v>
      </c>
      <c r="F21" s="518">
        <f>D175</f>
        <v>121070204</v>
      </c>
    </row>
    <row r="22" spans="2:11" ht="16.2" thickBot="1" x14ac:dyDescent="0.35">
      <c r="B22" s="338" t="s">
        <v>69</v>
      </c>
      <c r="C22" s="339"/>
      <c r="D22" s="263">
        <f>D20/D21</f>
        <v>1.4256260919874695</v>
      </c>
      <c r="E22" s="516">
        <f>E20/E21</f>
        <v>1.8348130235808093</v>
      </c>
      <c r="F22" s="519">
        <f>F20/F21</f>
        <v>2.3991051832464056</v>
      </c>
    </row>
    <row r="23" spans="2:11" ht="14.4" thickBot="1" x14ac:dyDescent="0.35"/>
    <row r="24" spans="2:11" ht="18.75" thickBot="1" x14ac:dyDescent="0.3">
      <c r="B24" s="347" t="s">
        <v>202</v>
      </c>
      <c r="C24" s="348"/>
      <c r="D24" s="348"/>
      <c r="E24" s="348"/>
      <c r="F24" s="348"/>
      <c r="G24" s="348"/>
      <c r="H24" s="348"/>
      <c r="I24" s="348"/>
      <c r="J24" s="348"/>
      <c r="K24" s="349"/>
    </row>
    <row r="25" spans="2:11" ht="51" x14ac:dyDescent="0.25">
      <c r="B25" s="252" t="s">
        <v>0</v>
      </c>
      <c r="C25" s="240" t="s">
        <v>33</v>
      </c>
      <c r="D25" s="254" t="s">
        <v>219</v>
      </c>
      <c r="E25" s="240" t="s">
        <v>85</v>
      </c>
      <c r="F25" s="245" t="s">
        <v>84</v>
      </c>
      <c r="G25" s="246" t="s">
        <v>74</v>
      </c>
      <c r="H25" s="247" t="s">
        <v>75</v>
      </c>
      <c r="I25" s="238" t="s">
        <v>61</v>
      </c>
      <c r="J25" s="255" t="s">
        <v>80</v>
      </c>
      <c r="K25" s="247" t="s">
        <v>92</v>
      </c>
    </row>
    <row r="26" spans="2:11" ht="15" x14ac:dyDescent="0.25">
      <c r="B26" s="264">
        <v>2016</v>
      </c>
      <c r="C26" s="265">
        <f>'F1 Veh. Operating Cost Savings'!C3</f>
        <v>630549.91999999993</v>
      </c>
      <c r="D26" s="266">
        <f>'F1 Veh. Operating Cost Savings'!D3</f>
        <v>230150720.79999998</v>
      </c>
      <c r="E26" s="265">
        <f>'F1 Veh. Operating Cost Savings'!E3</f>
        <v>308596.91088893329</v>
      </c>
      <c r="F26" s="267">
        <f>'F1 Veh. Operating Cost Savings'!F3</f>
        <v>161702.95060919999</v>
      </c>
      <c r="G26" s="267">
        <f>'F1 Veh. Operating Cost Savings'!G3</f>
        <v>470299.86149813328</v>
      </c>
      <c r="H26" s="266">
        <f>'F1 Veh. Operating Cost Savings'!H3</f>
        <v>171659449.44681865</v>
      </c>
      <c r="I26" s="268">
        <f>'F1 Veh. Operating Cost Savings'!I3</f>
        <v>8239653.5734472955</v>
      </c>
      <c r="J26" s="265">
        <f>'F1 Veh. Operating Cost Savings'!J3</f>
        <v>8239653.5734472955</v>
      </c>
      <c r="K26" s="266">
        <f>'F1 Veh. Operating Cost Savings'!K3</f>
        <v>8239653.5734472955</v>
      </c>
    </row>
    <row r="27" spans="2:11" ht="15" x14ac:dyDescent="0.25">
      <c r="B27" s="264">
        <v>2017</v>
      </c>
      <c r="C27" s="265">
        <f>'F1 Veh. Operating Cost Savings'!C4</f>
        <v>640638.71872</v>
      </c>
      <c r="D27" s="266">
        <f>'F1 Veh. Operating Cost Savings'!D4</f>
        <v>233833132.3328</v>
      </c>
      <c r="E27" s="265">
        <f>'F1 Veh. Operating Cost Savings'!E4</f>
        <v>313534.46146315627</v>
      </c>
      <c r="F27" s="267">
        <f>'F1 Veh. Operating Cost Savings'!F4</f>
        <v>164290.1978189472</v>
      </c>
      <c r="G27" s="267">
        <f>'F1 Veh. Operating Cost Savings'!G4</f>
        <v>477824.65928210347</v>
      </c>
      <c r="H27" s="266">
        <f>'F1 Veh. Operating Cost Savings'!H4</f>
        <v>174406000.63796777</v>
      </c>
      <c r="I27" s="268">
        <f>'F1 Veh. Operating Cost Savings'!I4</f>
        <v>8371488.0306224525</v>
      </c>
      <c r="J27" s="265">
        <f>'F1 Veh. Operating Cost Savings'!J4</f>
        <v>7823820.5893667778</v>
      </c>
      <c r="K27" s="266">
        <f>'F1 Veh. Operating Cost Savings'!K4</f>
        <v>8127658.282157721</v>
      </c>
    </row>
    <row r="28" spans="2:11" ht="15" x14ac:dyDescent="0.25">
      <c r="B28" s="264">
        <v>2018</v>
      </c>
      <c r="C28" s="265">
        <f>'F1 Veh. Operating Cost Savings'!C5</f>
        <v>650888.93821952003</v>
      </c>
      <c r="D28" s="266">
        <f>'F1 Veh. Operating Cost Savings'!D5</f>
        <v>237574462.4501248</v>
      </c>
      <c r="E28" s="265">
        <f>'F1 Veh. Operating Cost Savings'!E5</f>
        <v>318551.01284656679</v>
      </c>
      <c r="F28" s="267">
        <f>'F1 Veh. Operating Cost Savings'!F5</f>
        <v>166918.84098405036</v>
      </c>
      <c r="G28" s="267">
        <f>'F1 Veh. Operating Cost Savings'!G5</f>
        <v>485469.85383061715</v>
      </c>
      <c r="H28" s="266">
        <f>'F1 Veh. Operating Cost Savings'!H5</f>
        <v>177196496.64817527</v>
      </c>
      <c r="I28" s="268">
        <f>'F1 Veh. Operating Cost Savings'!I5</f>
        <v>8505431.8391124122</v>
      </c>
      <c r="J28" s="265">
        <f>'F1 Veh. Operating Cost Savings'!J5</f>
        <v>7428973.5689688288</v>
      </c>
      <c r="K28" s="266">
        <f>'F1 Veh. Operating Cost Savings'!K5</f>
        <v>8017185.2569633452</v>
      </c>
    </row>
    <row r="29" spans="2:11" ht="15" x14ac:dyDescent="0.25">
      <c r="B29" s="264">
        <v>2019</v>
      </c>
      <c r="C29" s="265">
        <f>'F1 Veh. Operating Cost Savings'!C6</f>
        <v>661303.16123103234</v>
      </c>
      <c r="D29" s="266">
        <f>'F1 Veh. Operating Cost Savings'!D6</f>
        <v>241375653.84932679</v>
      </c>
      <c r="E29" s="265">
        <f>'F1 Veh. Operating Cost Savings'!E6</f>
        <v>323647.82905211183</v>
      </c>
      <c r="F29" s="267">
        <f>'F1 Veh. Operating Cost Savings'!F6</f>
        <v>169589.54243979516</v>
      </c>
      <c r="G29" s="267">
        <f>'F1 Veh. Operating Cost Savings'!G6</f>
        <v>493237.37149190699</v>
      </c>
      <c r="H29" s="266">
        <f>'F1 Veh. Operating Cost Savings'!H6</f>
        <v>180031640.59454605</v>
      </c>
      <c r="I29" s="268">
        <f>'F1 Veh. Operating Cost Savings'!I6</f>
        <v>8641518.748538211</v>
      </c>
      <c r="J29" s="265">
        <f>'F1 Veh. Operating Cost Savings'!J6</f>
        <v>7054053.4075442329</v>
      </c>
      <c r="K29" s="266">
        <f>'F1 Veh. Operating Cost Savings'!K6</f>
        <v>7908213.8068686975</v>
      </c>
    </row>
    <row r="30" spans="2:11" ht="15" x14ac:dyDescent="0.25">
      <c r="B30" s="264">
        <v>2020</v>
      </c>
      <c r="C30" s="265">
        <f>'F1 Veh. Operating Cost Savings'!C7</f>
        <v>671884.01181072893</v>
      </c>
      <c r="D30" s="266">
        <f>'F1 Veh. Operating Cost Savings'!D7</f>
        <v>245237664.31091607</v>
      </c>
      <c r="E30" s="265">
        <f>'F1 Veh. Operating Cost Savings'!E7</f>
        <v>328826.19431694568</v>
      </c>
      <c r="F30" s="267">
        <f>'F1 Veh. Operating Cost Savings'!F7</f>
        <v>172302.97511883191</v>
      </c>
      <c r="G30" s="267">
        <f>'F1 Veh. Operating Cost Savings'!G7</f>
        <v>501129.16943577759</v>
      </c>
      <c r="H30" s="266">
        <f>'F1 Veh. Operating Cost Savings'!H7</f>
        <v>182912146.84405881</v>
      </c>
      <c r="I30" s="268">
        <f>'F1 Veh. Operating Cost Savings'!I7</f>
        <v>8779783.0485148225</v>
      </c>
      <c r="J30" s="265">
        <f>'F1 Veh. Operating Cost Savings'!J7</f>
        <v>6698054.4505279828</v>
      </c>
      <c r="K30" s="266">
        <f>'F1 Veh. Operating Cost Savings'!K7</f>
        <v>7800723.522115143</v>
      </c>
    </row>
    <row r="31" spans="2:11" ht="15" x14ac:dyDescent="0.25">
      <c r="B31" s="264">
        <v>2021</v>
      </c>
      <c r="C31" s="265">
        <f>'F1 Veh. Operating Cost Savings'!C8</f>
        <v>682634.15599970066</v>
      </c>
      <c r="D31" s="266">
        <f>'F1 Veh. Operating Cost Savings'!D8</f>
        <v>249161466.93989074</v>
      </c>
      <c r="E31" s="265">
        <f>'F1 Veh. Operating Cost Savings'!E8</f>
        <v>334087.41342601681</v>
      </c>
      <c r="F31" s="267">
        <f>'F1 Veh. Operating Cost Savings'!F8</f>
        <v>175059.82272073327</v>
      </c>
      <c r="G31" s="267">
        <f>'F1 Veh. Operating Cost Savings'!G8</f>
        <v>509147.23614675005</v>
      </c>
      <c r="H31" s="266">
        <f>'F1 Veh. Operating Cost Savings'!H8</f>
        <v>185838741.19356376</v>
      </c>
      <c r="I31" s="268">
        <f>'F1 Veh. Operating Cost Savings'!I8</f>
        <v>8920259.5772910602</v>
      </c>
      <c r="J31" s="265">
        <f>'F1 Veh. Operating Cost Savings'!J8</f>
        <v>6360021.7960153557</v>
      </c>
      <c r="K31" s="266">
        <f>'F1 Veh. Operating Cost Savings'!K8</f>
        <v>7694694.2703582393</v>
      </c>
    </row>
    <row r="32" spans="2:11" ht="15" x14ac:dyDescent="0.25">
      <c r="B32" s="264">
        <v>2022</v>
      </c>
      <c r="C32" s="265">
        <f>'F1 Veh. Operating Cost Savings'!C9</f>
        <v>693556.30249569588</v>
      </c>
      <c r="D32" s="266">
        <f>'F1 Veh. Operating Cost Savings'!D9</f>
        <v>253148050.41092899</v>
      </c>
      <c r="E32" s="265">
        <f>'F1 Veh. Operating Cost Savings'!E9</f>
        <v>339432.81204083312</v>
      </c>
      <c r="F32" s="267">
        <f>'F1 Veh. Operating Cost Savings'!F9</f>
        <v>177860.77988426498</v>
      </c>
      <c r="G32" s="267">
        <f>'F1 Veh. Operating Cost Savings'!G9</f>
        <v>517293.5919250981</v>
      </c>
      <c r="H32" s="266">
        <f>'F1 Veh. Operating Cost Savings'!H9</f>
        <v>188812161.05266079</v>
      </c>
      <c r="I32" s="268">
        <f>'F1 Veh. Operating Cost Savings'!I9</f>
        <v>9062983.7305277176</v>
      </c>
      <c r="J32" s="265">
        <f>'F1 Veh. Operating Cost Savings'!J9</f>
        <v>6039048.7334127119</v>
      </c>
      <c r="K32" s="266">
        <f>'F1 Veh. Operating Cost Savings'!K9</f>
        <v>7590106.192897059</v>
      </c>
    </row>
    <row r="33" spans="2:11" ht="15" x14ac:dyDescent="0.25">
      <c r="B33" s="264">
        <v>2023</v>
      </c>
      <c r="C33" s="265">
        <f>'F1 Veh. Operating Cost Savings'!C10</f>
        <v>704653.20333562698</v>
      </c>
      <c r="D33" s="266">
        <f>'F1 Veh. Operating Cost Savings'!D10</f>
        <v>257198419.21750385</v>
      </c>
      <c r="E33" s="265">
        <f>'F1 Veh. Operating Cost Savings'!E10</f>
        <v>344863.73703348642</v>
      </c>
      <c r="F33" s="267">
        <f>'F1 Veh. Operating Cost Savings'!F10</f>
        <v>180706.5523624132</v>
      </c>
      <c r="G33" s="267">
        <f>'F1 Veh. Operating Cost Savings'!G10</f>
        <v>525570.28939589963</v>
      </c>
      <c r="H33" s="266">
        <f>'F1 Veh. Operating Cost Savings'!H10</f>
        <v>191833155.62950337</v>
      </c>
      <c r="I33" s="268">
        <f>'F1 Veh. Operating Cost Savings'!I10</f>
        <v>9207991.4702161625</v>
      </c>
      <c r="J33" s="265">
        <f>'F1 Veh. Operating Cost Savings'!J10</f>
        <v>5734274.311352632</v>
      </c>
      <c r="K33" s="266">
        <f>'F1 Veh. Operating Cost Savings'!K10</f>
        <v>7486939.7009547697</v>
      </c>
    </row>
    <row r="34" spans="2:11" x14ac:dyDescent="0.25">
      <c r="B34" s="264">
        <v>2024</v>
      </c>
      <c r="C34" s="265">
        <f>'F1 Veh. Operating Cost Savings'!C11</f>
        <v>715927.65458899701</v>
      </c>
      <c r="D34" s="266">
        <f>'F1 Veh. Operating Cost Savings'!D11</f>
        <v>261313593.92498392</v>
      </c>
      <c r="E34" s="265">
        <f>'F1 Veh. Operating Cost Savings'!E11</f>
        <v>350381.55682602222</v>
      </c>
      <c r="F34" s="267">
        <f>'F1 Veh. Operating Cost Savings'!F11</f>
        <v>183597.85720021185</v>
      </c>
      <c r="G34" s="267">
        <f>'F1 Veh. Operating Cost Savings'!G11</f>
        <v>533979.41402623407</v>
      </c>
      <c r="H34" s="266">
        <f>'F1 Veh. Operating Cost Savings'!H11</f>
        <v>194902486.11957544</v>
      </c>
      <c r="I34" s="268">
        <f>'F1 Veh. Operating Cost Savings'!I11</f>
        <v>9355319.3337396216</v>
      </c>
      <c r="J34" s="265">
        <f>'F1 Veh. Operating Cost Savings'!J11</f>
        <v>5444881.0283497889</v>
      </c>
      <c r="K34" s="266">
        <f>'F1 Veh. Operating Cost Savings'!K11</f>
        <v>7385175.4720097547</v>
      </c>
    </row>
    <row r="35" spans="2:11" x14ac:dyDescent="0.25">
      <c r="B35" s="264">
        <v>2025</v>
      </c>
      <c r="C35" s="265">
        <f>'F1 Veh. Operating Cost Savings'!C12</f>
        <v>727382.49706242094</v>
      </c>
      <c r="D35" s="266">
        <f>'F1 Veh. Operating Cost Savings'!D12</f>
        <v>265494611.42778364</v>
      </c>
      <c r="E35" s="265">
        <f>'F1 Veh. Operating Cost Savings'!E12</f>
        <v>355987.66173523857</v>
      </c>
      <c r="F35" s="267">
        <f>'F1 Veh. Operating Cost Savings'!F12</f>
        <v>186535.4229154152</v>
      </c>
      <c r="G35" s="267">
        <f>'F1 Veh. Operating Cost Savings'!G12</f>
        <v>542523.08465065376</v>
      </c>
      <c r="H35" s="266">
        <f>'F1 Veh. Operating Cost Savings'!H12</f>
        <v>198020925.89748862</v>
      </c>
      <c r="I35" s="268">
        <f>'F1 Veh. Operating Cost Savings'!I12</f>
        <v>9505004.4430794548</v>
      </c>
      <c r="J35" s="265">
        <f>'F1 Veh. Operating Cost Savings'!J12</f>
        <v>5170092.6400031634</v>
      </c>
      <c r="K35" s="266">
        <f>'F1 Veh. Operating Cost Savings'!K12</f>
        <v>7284794.4461766118</v>
      </c>
    </row>
    <row r="36" spans="2:11" x14ac:dyDescent="0.25">
      <c r="B36" s="264">
        <v>2026</v>
      </c>
      <c r="C36" s="265">
        <f>'F1 Veh. Operating Cost Savings'!C13</f>
        <v>739020.61701541964</v>
      </c>
      <c r="D36" s="266">
        <f>'F1 Veh. Operating Cost Savings'!D13</f>
        <v>269742525.21062815</v>
      </c>
      <c r="E36" s="265">
        <f>'F1 Veh. Operating Cost Savings'!E13</f>
        <v>361683.46432300238</v>
      </c>
      <c r="F36" s="267">
        <f>'F1 Veh. Operating Cost Savings'!F13</f>
        <v>189519.98968206183</v>
      </c>
      <c r="G36" s="267">
        <f>'F1 Veh. Operating Cost Savings'!G13</f>
        <v>551203.45400506421</v>
      </c>
      <c r="H36" s="266">
        <f>'F1 Veh. Operating Cost Savings'!H13</f>
        <v>201189260.71184844</v>
      </c>
      <c r="I36" s="268">
        <f>'F1 Veh. Operating Cost Savings'!I13</f>
        <v>9657084.5141687244</v>
      </c>
      <c r="J36" s="265">
        <f>'F1 Veh. Operating Cost Savings'!J13</f>
        <v>4909172.0768628158</v>
      </c>
      <c r="K36" s="266">
        <f>'F1 Veh. Operating Cost Savings'!K13</f>
        <v>7185777.8226363454</v>
      </c>
    </row>
    <row r="37" spans="2:11" x14ac:dyDescent="0.25">
      <c r="B37" s="264">
        <v>2027</v>
      </c>
      <c r="C37" s="265">
        <f>'F1 Veh. Operating Cost Savings'!C14</f>
        <v>750844.94688766624</v>
      </c>
      <c r="D37" s="266">
        <f>'F1 Veh. Operating Cost Savings'!D14</f>
        <v>274058405.61399817</v>
      </c>
      <c r="E37" s="265">
        <f>'F1 Veh. Operating Cost Savings'!E14</f>
        <v>367470.39975217037</v>
      </c>
      <c r="F37" s="267">
        <f>'F1 Veh. Operating Cost Savings'!F14</f>
        <v>192552.30951697481</v>
      </c>
      <c r="G37" s="267">
        <f>'F1 Veh. Operating Cost Savings'!G14</f>
        <v>560022.70926914515</v>
      </c>
      <c r="H37" s="266">
        <f>'F1 Veh. Operating Cost Savings'!H14</f>
        <v>204408288.88323799</v>
      </c>
      <c r="I37" s="268">
        <f>'F1 Veh. Operating Cost Savings'!I14</f>
        <v>9811597.8663954232</v>
      </c>
      <c r="J37" s="265">
        <f>'F1 Veh. Operating Cost Savings'!J14</f>
        <v>4661419.4673762806</v>
      </c>
      <c r="K37" s="266">
        <f>'F1 Veh. Operating Cost Savings'!K14</f>
        <v>7088107.0561150741</v>
      </c>
    </row>
    <row r="38" spans="2:11" x14ac:dyDescent="0.25">
      <c r="B38" s="264">
        <v>2028</v>
      </c>
      <c r="C38" s="265">
        <f>'F1 Veh. Operating Cost Savings'!C15</f>
        <v>762858.46603786887</v>
      </c>
      <c r="D38" s="266">
        <f>'F1 Veh. Operating Cost Savings'!D15</f>
        <v>278443340.10382211</v>
      </c>
      <c r="E38" s="265">
        <f>'F1 Veh. Operating Cost Savings'!E15</f>
        <v>373349.92614820506</v>
      </c>
      <c r="F38" s="267">
        <f>'F1 Veh. Operating Cost Savings'!F15</f>
        <v>195633.14646924639</v>
      </c>
      <c r="G38" s="267">
        <f>'F1 Veh. Operating Cost Savings'!G15</f>
        <v>568983.07261745143</v>
      </c>
      <c r="H38" s="266">
        <f>'F1 Veh. Operating Cost Savings'!H15</f>
        <v>207678821.50536978</v>
      </c>
      <c r="I38" s="268">
        <f>'F1 Veh. Operating Cost Savings'!I15</f>
        <v>9968583.4322577491</v>
      </c>
      <c r="J38" s="265">
        <f>'F1 Veh. Operating Cost Savings'!J15</f>
        <v>4426170.2606114969</v>
      </c>
      <c r="K38" s="266">
        <f>'F1 Veh. Operating Cost Savings'!K15</f>
        <v>6991763.8534105979</v>
      </c>
    </row>
    <row r="39" spans="2:11" x14ac:dyDescent="0.25">
      <c r="B39" s="264">
        <v>2029</v>
      </c>
      <c r="C39" s="265">
        <f>'F1 Veh. Operating Cost Savings'!C16</f>
        <v>775064.20149447478</v>
      </c>
      <c r="D39" s="266">
        <f>'F1 Veh. Operating Cost Savings'!D16</f>
        <v>282898433.54548329</v>
      </c>
      <c r="E39" s="265">
        <f>'F1 Veh. Operating Cost Savings'!E16</f>
        <v>379323.52496657637</v>
      </c>
      <c r="F39" s="267">
        <f>'F1 Veh. Operating Cost Savings'!F16</f>
        <v>198763.27681275434</v>
      </c>
      <c r="G39" s="267">
        <f>'F1 Veh. Operating Cost Savings'!G16</f>
        <v>578086.80177933071</v>
      </c>
      <c r="H39" s="266">
        <f>'F1 Veh. Operating Cost Savings'!H16</f>
        <v>211001682.6494557</v>
      </c>
      <c r="I39" s="268">
        <f>'F1 Veh. Operating Cost Savings'!I16</f>
        <v>10128080.767173873</v>
      </c>
      <c r="J39" s="265">
        <f>'F1 Veh. Operating Cost Savings'!J16</f>
        <v>4202793.4437208232</v>
      </c>
      <c r="K39" s="266">
        <f>'F1 Veh. Operating Cost Savings'!K16</f>
        <v>6896730.1699661827</v>
      </c>
    </row>
    <row r="40" spans="2:11" x14ac:dyDescent="0.25">
      <c r="B40" s="264">
        <v>2030</v>
      </c>
      <c r="C40" s="265">
        <f>'F1 Veh. Operating Cost Savings'!C17</f>
        <v>787465.22871838638</v>
      </c>
      <c r="D40" s="266">
        <f>'F1 Veh. Operating Cost Savings'!D17</f>
        <v>287424808.48221105</v>
      </c>
      <c r="E40" s="265">
        <f>'F1 Veh. Operating Cost Savings'!E17</f>
        <v>385392.70136604155</v>
      </c>
      <c r="F40" s="267">
        <f>'F1 Veh. Operating Cost Savings'!F17</f>
        <v>201943.48924175839</v>
      </c>
      <c r="G40" s="267">
        <f>'F1 Veh. Operating Cost Savings'!G17</f>
        <v>587336.19060779992</v>
      </c>
      <c r="H40" s="266">
        <f>'F1 Veh. Operating Cost Savings'!H17</f>
        <v>214377709.57184696</v>
      </c>
      <c r="I40" s="268">
        <f>'F1 Veh. Operating Cost Savings'!I17</f>
        <v>10290130.059448654</v>
      </c>
      <c r="J40" s="265">
        <f>'F1 Veh. Operating Cost Savings'!J17</f>
        <v>3990689.8493648185</v>
      </c>
      <c r="K40" s="266">
        <f>'F1 Veh. Operating Cost Savings'!K17</f>
        <v>6802988.2064909125</v>
      </c>
    </row>
    <row r="41" spans="2:11" x14ac:dyDescent="0.25">
      <c r="B41" s="264">
        <v>2031</v>
      </c>
      <c r="C41" s="265">
        <f>'F1 Veh. Operating Cost Savings'!C18</f>
        <v>800064.67237788055</v>
      </c>
      <c r="D41" s="266">
        <f>'F1 Veh. Operating Cost Savings'!D18</f>
        <v>292023605.41792637</v>
      </c>
      <c r="E41" s="265">
        <f>'F1 Veh. Operating Cost Savings'!E18</f>
        <v>391558.98458789825</v>
      </c>
      <c r="F41" s="267">
        <f>'F1 Veh. Operating Cost Savings'!F18</f>
        <v>205174.58506962651</v>
      </c>
      <c r="G41" s="267">
        <f>'F1 Veh. Operating Cost Savings'!G18</f>
        <v>596733.56965752481</v>
      </c>
      <c r="H41" s="266">
        <f>'F1 Veh. Operating Cost Savings'!H18</f>
        <v>217807752.92499655</v>
      </c>
      <c r="I41" s="268">
        <f>'F1 Veh. Operating Cost Savings'!I18</f>
        <v>10454772.140399834</v>
      </c>
      <c r="J41" s="265">
        <f>'F1 Veh. Operating Cost Savings'!J18</f>
        <v>3789290.5485557527</v>
      </c>
      <c r="K41" s="266">
        <f>'F1 Veh. Operating Cost Savings'!K18</f>
        <v>6710520.4056259878</v>
      </c>
    </row>
    <row r="42" spans="2:11" x14ac:dyDescent="0.25">
      <c r="B42" s="264">
        <v>2032</v>
      </c>
      <c r="C42" s="265">
        <f>'F1 Veh. Operating Cost Savings'!C19</f>
        <v>812865.70713592658</v>
      </c>
      <c r="D42" s="266">
        <f>'F1 Veh. Operating Cost Savings'!D19</f>
        <v>296695983.10461318</v>
      </c>
      <c r="E42" s="265">
        <f>'F1 Veh. Operating Cost Savings'!E19</f>
        <v>397823.92834130459</v>
      </c>
      <c r="F42" s="267">
        <f>'F1 Veh. Operating Cost Savings'!F19</f>
        <v>208457.37843074056</v>
      </c>
      <c r="G42" s="267">
        <f>'F1 Veh. Operating Cost Savings'!G19</f>
        <v>606281.30677204509</v>
      </c>
      <c r="H42" s="266">
        <f>'F1 Veh. Operating Cost Savings'!H19</f>
        <v>221292676.97179645</v>
      </c>
      <c r="I42" s="268">
        <f>'F1 Veh. Operating Cost Savings'!I19</f>
        <v>10622048.494646231</v>
      </c>
      <c r="J42" s="265">
        <f>'F1 Veh. Operating Cost Savings'!J19</f>
        <v>3598055.3246099488</v>
      </c>
      <c r="K42" s="266">
        <f>'F1 Veh. Operating Cost Savings'!K19</f>
        <v>6619309.448656315</v>
      </c>
    </row>
    <row r="43" spans="2:11" x14ac:dyDescent="0.25">
      <c r="B43" s="264">
        <v>2033</v>
      </c>
      <c r="C43" s="265">
        <f>'F1 Veh. Operating Cost Savings'!C20</f>
        <v>825871.55845010153</v>
      </c>
      <c r="D43" s="266">
        <f>'F1 Veh. Operating Cost Savings'!D20</f>
        <v>301443118.83428705</v>
      </c>
      <c r="E43" s="265">
        <f>'F1 Veh. Operating Cost Savings'!E20</f>
        <v>404189.11119476549</v>
      </c>
      <c r="F43" s="267">
        <f>'F1 Veh. Operating Cost Savings'!F20</f>
        <v>211792.69648563242</v>
      </c>
      <c r="G43" s="267">
        <f>'F1 Veh. Operating Cost Savings'!G20</f>
        <v>615981.80768039788</v>
      </c>
      <c r="H43" s="266">
        <f>'F1 Veh. Operating Cost Savings'!H20</f>
        <v>224833359.80334523</v>
      </c>
      <c r="I43" s="268">
        <f>'F1 Veh. Operating Cost Savings'!I20</f>
        <v>10792001.270560572</v>
      </c>
      <c r="J43" s="265">
        <f>'F1 Veh. Operating Cost Savings'!J20</f>
        <v>3416471.2241156152</v>
      </c>
      <c r="K43" s="266">
        <f>'F1 Veh. Operating Cost Savings'!K20</f>
        <v>6529338.2522668121</v>
      </c>
    </row>
    <row r="44" spans="2:11" x14ac:dyDescent="0.25">
      <c r="B44" s="264">
        <v>2034</v>
      </c>
      <c r="C44" s="265">
        <f>'F1 Veh. Operating Cost Savings'!C21</f>
        <v>839085.50338530308</v>
      </c>
      <c r="D44" s="266">
        <f>'F1 Veh. Operating Cost Savings'!D21</f>
        <v>306266208.73563564</v>
      </c>
      <c r="E44" s="265">
        <f>'F1 Veh. Operating Cost Savings'!E21</f>
        <v>410656.13697388169</v>
      </c>
      <c r="F44" s="267">
        <f>'F1 Veh. Operating Cost Savings'!F21</f>
        <v>215181.37962940251</v>
      </c>
      <c r="G44" s="267">
        <f>'F1 Veh. Operating Cost Savings'!G21</f>
        <v>625837.51660328417</v>
      </c>
      <c r="H44" s="266">
        <f>'F1 Veh. Operating Cost Savings'!H21</f>
        <v>228430693.56019872</v>
      </c>
      <c r="I44" s="268">
        <f>'F1 Veh. Operating Cost Savings'!I21</f>
        <v>10964673.290889539</v>
      </c>
      <c r="J44" s="265">
        <f>'F1 Veh. Operating Cost Savings'!J21</f>
        <v>3244051.1810294059</v>
      </c>
      <c r="K44" s="266">
        <f>'F1 Veh. Operating Cost Savings'!K21</f>
        <v>6440589.9653427964</v>
      </c>
    </row>
    <row r="45" spans="2:11" x14ac:dyDescent="0.25">
      <c r="B45" s="264">
        <v>2035</v>
      </c>
      <c r="C45" s="265">
        <f>'F1 Veh. Operating Cost Savings'!C22</f>
        <v>852510.871439468</v>
      </c>
      <c r="D45" s="266">
        <f>'F1 Veh. Operating Cost Savings'!D22</f>
        <v>311166468.07540584</v>
      </c>
      <c r="E45" s="265">
        <f>'F1 Veh. Operating Cost Savings'!E22</f>
        <v>417226.63516546384</v>
      </c>
      <c r="F45" s="267">
        <f>'F1 Veh. Operating Cost Savings'!F22</f>
        <v>218624.28170347298</v>
      </c>
      <c r="G45" s="267">
        <f>'F1 Veh. Operating Cost Savings'!G22</f>
        <v>635850.91686893685</v>
      </c>
      <c r="H45" s="266">
        <f>'F1 Veh. Operating Cost Savings'!H22</f>
        <v>232085584.65716195</v>
      </c>
      <c r="I45" s="268">
        <f>'F1 Veh. Operating Cost Savings'!I22</f>
        <v>11140108.063543774</v>
      </c>
      <c r="J45" s="265">
        <f>'F1 Veh. Operating Cost Savings'!J22</f>
        <v>3080332.7102111001</v>
      </c>
      <c r="K45" s="266">
        <f>'F1 Veh. Operating Cost Savings'!K22</f>
        <v>6353047.9658138668</v>
      </c>
    </row>
    <row r="46" spans="2:11" x14ac:dyDescent="0.25">
      <c r="B46" s="264">
        <v>2036</v>
      </c>
      <c r="C46" s="265">
        <f>'F1 Veh. Operating Cost Savings'!C23</f>
        <v>866151.04538249946</v>
      </c>
      <c r="D46" s="266">
        <f>'F1 Veh. Operating Cost Savings'!D23</f>
        <v>316145131.56461233</v>
      </c>
      <c r="E46" s="265">
        <f>'F1 Veh. Operating Cost Savings'!E23</f>
        <v>423902.26132811129</v>
      </c>
      <c r="F46" s="267">
        <f>'F1 Veh. Operating Cost Savings'!F23</f>
        <v>222122.27021072854</v>
      </c>
      <c r="G46" s="267">
        <f>'F1 Veh. Operating Cost Savings'!G23</f>
        <v>646024.5315388398</v>
      </c>
      <c r="H46" s="266">
        <f>'F1 Veh. Operating Cost Savings'!H23</f>
        <v>235798954.01167652</v>
      </c>
      <c r="I46" s="268">
        <f>'F1 Veh. Operating Cost Savings'!I23</f>
        <v>11318349.792560473</v>
      </c>
      <c r="J46" s="265">
        <f>'F1 Veh. Operating Cost Savings'!J23</f>
        <v>2924876.6668920349</v>
      </c>
      <c r="K46" s="266">
        <f>'F1 Veh. Operating Cost Savings'!K23</f>
        <v>6266695.857540668</v>
      </c>
    </row>
    <row r="47" spans="2:11" x14ac:dyDescent="0.25">
      <c r="B47" s="264">
        <v>2037</v>
      </c>
      <c r="C47" s="265">
        <f>'F1 Veh. Operating Cost Savings'!C24</f>
        <v>880009.46210861951</v>
      </c>
      <c r="D47" s="266">
        <f>'F1 Veh. Operating Cost Savings'!D24</f>
        <v>321203453.66964614</v>
      </c>
      <c r="E47" s="265">
        <f>'F1 Veh. Operating Cost Savings'!E24</f>
        <v>430684.69750936108</v>
      </c>
      <c r="F47" s="267">
        <f>'F1 Veh. Operating Cost Savings'!F24</f>
        <v>225676.22653410019</v>
      </c>
      <c r="G47" s="267">
        <f>'F1 Veh. Operating Cost Savings'!G24</f>
        <v>656360.92404346121</v>
      </c>
      <c r="H47" s="266">
        <f>'F1 Veh. Operating Cost Savings'!H24</f>
        <v>239571737.27586335</v>
      </c>
      <c r="I47" s="268">
        <f>'F1 Veh. Operating Cost Savings'!I24</f>
        <v>11499443.38924144</v>
      </c>
      <c r="J47" s="265">
        <f>'F1 Veh. Operating Cost Savings'!J24</f>
        <v>2777266.0687498199</v>
      </c>
      <c r="K47" s="266">
        <f>'F1 Veh. Operating Cost Savings'!K24</f>
        <v>6181517.4672439992</v>
      </c>
    </row>
    <row r="48" spans="2:11" x14ac:dyDescent="0.25">
      <c r="B48" s="264">
        <v>2038</v>
      </c>
      <c r="C48" s="265">
        <f>'F1 Veh. Operating Cost Savings'!C25</f>
        <v>894089.61350235739</v>
      </c>
      <c r="D48" s="266">
        <f>'F1 Veh. Operating Cost Savings'!D25</f>
        <v>326342708.92836046</v>
      </c>
      <c r="E48" s="265">
        <f>'F1 Veh. Operating Cost Savings'!E25</f>
        <v>437575.65266951086</v>
      </c>
      <c r="F48" s="267">
        <f>'F1 Veh. Operating Cost Savings'!F25</f>
        <v>229287.04615864583</v>
      </c>
      <c r="G48" s="267">
        <f>'F1 Veh. Operating Cost Savings'!G25</f>
        <v>666862.69882815669</v>
      </c>
      <c r="H48" s="266">
        <f>'F1 Veh. Operating Cost Savings'!H25</f>
        <v>243404885.07227719</v>
      </c>
      <c r="I48" s="268">
        <f>'F1 Veh. Operating Cost Savings'!I25</f>
        <v>11683434.483469306</v>
      </c>
      <c r="J48" s="265">
        <f>'F1 Veh. Operating Cost Savings'!J25</f>
        <v>2637104.9774297364</v>
      </c>
      <c r="K48" s="266">
        <f>'F1 Veh. Operating Cost Savings'!K25</f>
        <v>6097496.8414756348</v>
      </c>
    </row>
    <row r="49" spans="2:11" x14ac:dyDescent="0.25">
      <c r="B49" s="264">
        <v>2039</v>
      </c>
      <c r="C49" s="265">
        <f>'F1 Veh. Operating Cost Savings'!C26</f>
        <v>908395.04731839511</v>
      </c>
      <c r="D49" s="266">
        <f>'F1 Veh. Operating Cost Savings'!D26</f>
        <v>331564192.27121419</v>
      </c>
      <c r="E49" s="265">
        <f>'F1 Veh. Operating Cost Savings'!E26</f>
        <v>444576.86311222299</v>
      </c>
      <c r="F49" s="267">
        <f>'F1 Veh. Operating Cost Savings'!F26</f>
        <v>232955.63889718414</v>
      </c>
      <c r="G49" s="267">
        <f>'F1 Veh. Operating Cost Savings'!G26</f>
        <v>677532.50200940715</v>
      </c>
      <c r="H49" s="266">
        <f>'F1 Veh. Operating Cost Savings'!H26</f>
        <v>247299363.2334336</v>
      </c>
      <c r="I49" s="268">
        <f>'F1 Veh. Operating Cost Savings'!I26</f>
        <v>11870369.435204813</v>
      </c>
      <c r="J49" s="265">
        <f>'F1 Veh. Operating Cost Savings'!J26</f>
        <v>2504017.4365127212</v>
      </c>
      <c r="K49" s="266">
        <f>'F1 Veh. Operating Cost Savings'!K26</f>
        <v>6014618.2436303338</v>
      </c>
    </row>
    <row r="50" spans="2:11" x14ac:dyDescent="0.25">
      <c r="B50" s="264">
        <v>2040</v>
      </c>
      <c r="C50" s="265">
        <f>'F1 Veh. Operating Cost Savings'!C27</f>
        <v>922929.36807548942</v>
      </c>
      <c r="D50" s="266">
        <f>'F1 Veh. Operating Cost Savings'!D27</f>
        <v>336869219.34755361</v>
      </c>
      <c r="E50" s="265">
        <f>'F1 Veh. Operating Cost Savings'!E27</f>
        <v>451690.09292201855</v>
      </c>
      <c r="F50" s="267">
        <f>'F1 Veh. Operating Cost Savings'!F27</f>
        <v>236682.92911953907</v>
      </c>
      <c r="G50" s="267">
        <f>'F1 Veh. Operating Cost Savings'!G27</f>
        <v>688373.02204155759</v>
      </c>
      <c r="H50" s="266">
        <f>'F1 Veh. Operating Cost Savings'!H27</f>
        <v>251256153.04516852</v>
      </c>
      <c r="I50" s="268">
        <f>'F1 Veh. Operating Cost Savings'!I27</f>
        <v>12060295.34616809</v>
      </c>
      <c r="J50" s="265">
        <f>'F1 Veh. Operating Cost Savings'!J27</f>
        <v>2377646.4630812379</v>
      </c>
      <c r="K50" s="266">
        <f>'F1 Veh. Operating Cost Savings'!K27</f>
        <v>5932866.1509984657</v>
      </c>
    </row>
    <row r="51" spans="2:11" ht="14.4" thickBot="1" x14ac:dyDescent="0.3">
      <c r="B51" s="253" t="s">
        <v>32</v>
      </c>
      <c r="C51" s="269">
        <f>'F1 Veh. Operating Cost Savings'!C28</f>
        <v>19196644.872793581</v>
      </c>
      <c r="D51" s="270">
        <f>'F1 Veh. Operating Cost Savings'!D28</f>
        <v>7006775378.5696554</v>
      </c>
      <c r="E51" s="269">
        <f>'F1 Veh. Operating Cost Savings'!E28</f>
        <v>9395013.9699898474</v>
      </c>
      <c r="F51" s="271">
        <f>'F1 Veh. Operating Cost Savings'!F28</f>
        <v>4922931.586015732</v>
      </c>
      <c r="G51" s="271">
        <f>'F1 Veh. Operating Cost Savings'!G28</f>
        <v>14317945.556005577</v>
      </c>
      <c r="H51" s="270">
        <f>'F1 Veh. Operating Cost Savings'!H28</f>
        <v>5226050127.9420347</v>
      </c>
      <c r="I51" s="272">
        <f>'F1 Veh. Operating Cost Savings'!I28</f>
        <v>250850406.14121768</v>
      </c>
      <c r="J51" s="269">
        <f>'F1 Veh. Operating Cost Savings'!J28</f>
        <v>118532231.79811235</v>
      </c>
      <c r="K51" s="270">
        <f>'F1 Veh. Operating Cost Savings'!K28</f>
        <v>175646512.23116267</v>
      </c>
    </row>
    <row r="53" spans="2:11" ht="14.4" thickBot="1" x14ac:dyDescent="0.35"/>
    <row r="54" spans="2:11" ht="18" thickBot="1" x14ac:dyDescent="0.35">
      <c r="B54" s="324" t="s">
        <v>201</v>
      </c>
      <c r="C54" s="325"/>
      <c r="D54" s="325"/>
      <c r="E54" s="325"/>
      <c r="F54" s="325"/>
      <c r="G54" s="325"/>
      <c r="H54" s="325"/>
      <c r="I54" s="325"/>
      <c r="J54" s="326"/>
    </row>
    <row r="55" spans="2:11" s="273" customFormat="1" ht="39.6" x14ac:dyDescent="0.3">
      <c r="B55" s="252" t="s">
        <v>0</v>
      </c>
      <c r="C55" s="240" t="s">
        <v>34</v>
      </c>
      <c r="D55" s="254" t="s">
        <v>208</v>
      </c>
      <c r="E55" s="240" t="s">
        <v>88</v>
      </c>
      <c r="F55" s="244" t="s">
        <v>89</v>
      </c>
      <c r="G55" s="254" t="s">
        <v>78</v>
      </c>
      <c r="H55" s="252" t="s">
        <v>79</v>
      </c>
      <c r="I55" s="240" t="s">
        <v>55</v>
      </c>
      <c r="J55" s="254" t="s">
        <v>91</v>
      </c>
    </row>
    <row r="56" spans="2:11" x14ac:dyDescent="0.25">
      <c r="B56" s="264">
        <v>2016</v>
      </c>
      <c r="C56" s="265">
        <f>'F2 Travel Time Cost Savings'!B3</f>
        <v>9007.8559999999998</v>
      </c>
      <c r="D56" s="266">
        <f>'F2 Travel Time Cost Savings'!C3</f>
        <v>51.769287356322799</v>
      </c>
      <c r="E56" s="265">
        <f>'F2 Travel Time Cost Savings'!D3</f>
        <v>39.732928045977744</v>
      </c>
      <c r="F56" s="274">
        <f>'F2 Travel Time Cost Savings'!E3</f>
        <v>12.036359310345052</v>
      </c>
      <c r="G56" s="275">
        <f>'F2 Travel Time Cost Savings'!F3</f>
        <v>1247.7314498343169</v>
      </c>
      <c r="H56" s="276">
        <f>'F2 Travel Time Cost Savings'!G3</f>
        <v>455421.97918952565</v>
      </c>
      <c r="I56" s="277">
        <f>'F2 Travel Time Cost Savings'!H3</f>
        <v>455421.97918952565</v>
      </c>
      <c r="J56" s="275">
        <f>'F2 Travel Time Cost Savings'!I3</f>
        <v>455421.97918952565</v>
      </c>
    </row>
    <row r="57" spans="2:11" x14ac:dyDescent="0.25">
      <c r="B57" s="264">
        <v>2017</v>
      </c>
      <c r="C57" s="265">
        <f>'F2 Travel Time Cost Savings'!B4</f>
        <v>9151.9816959999989</v>
      </c>
      <c r="D57" s="266">
        <f>'F2 Travel Time Cost Savings'!C4</f>
        <v>52.597595954023959</v>
      </c>
      <c r="E57" s="265">
        <f>'F2 Travel Time Cost Savings'!D4</f>
        <v>40.368654894713387</v>
      </c>
      <c r="F57" s="274">
        <f>'F2 Travel Time Cost Savings'!E4</f>
        <v>12.228941059310571</v>
      </c>
      <c r="G57" s="275">
        <f>'F2 Travel Time Cost Savings'!F4</f>
        <v>1267.695153031666</v>
      </c>
      <c r="H57" s="276">
        <f>'F2 Travel Time Cost Savings'!G4</f>
        <v>462708.73085655808</v>
      </c>
      <c r="I57" s="277">
        <f>'F2 Travel Time Cost Savings'!H4</f>
        <v>432438.06622108229</v>
      </c>
      <c r="J57" s="275">
        <f>'F2 Travel Time Cost Savings'!I4</f>
        <v>449231.77753063891</v>
      </c>
    </row>
    <row r="58" spans="2:11" x14ac:dyDescent="0.25">
      <c r="B58" s="264">
        <v>2018</v>
      </c>
      <c r="C58" s="265">
        <f>'F2 Travel Time Cost Savings'!B5</f>
        <v>9298.413403135999</v>
      </c>
      <c r="D58" s="266">
        <f>'F2 Travel Time Cost Savings'!C5</f>
        <v>53.439157489288341</v>
      </c>
      <c r="E58" s="265">
        <f>'F2 Travel Time Cost Savings'!D5</f>
        <v>41.014553373028797</v>
      </c>
      <c r="F58" s="274">
        <f>'F2 Travel Time Cost Savings'!E5</f>
        <v>12.424604116259539</v>
      </c>
      <c r="G58" s="275">
        <f>'F2 Travel Time Cost Savings'!F5</f>
        <v>1287.9782754801724</v>
      </c>
      <c r="H58" s="276">
        <f>'F2 Travel Time Cost Savings'!G5</f>
        <v>470112.07055026293</v>
      </c>
      <c r="I58" s="277">
        <f>'F2 Travel Time Cost Savings'!H5</f>
        <v>410614.08904730796</v>
      </c>
      <c r="J58" s="275">
        <f>'F2 Travel Time Cost Savings'!I5</f>
        <v>443125.71453507675</v>
      </c>
    </row>
    <row r="59" spans="2:11" x14ac:dyDescent="0.25">
      <c r="B59" s="264">
        <v>2019</v>
      </c>
      <c r="C59" s="265">
        <f>'F2 Travel Time Cost Savings'!B6</f>
        <v>9447.1880175861752</v>
      </c>
      <c r="D59" s="266">
        <f>'F2 Travel Time Cost Savings'!C6</f>
        <v>54.294184009116954</v>
      </c>
      <c r="E59" s="265">
        <f>'F2 Travel Time Cost Savings'!D6</f>
        <v>41.670786226997258</v>
      </c>
      <c r="F59" s="274">
        <f>'F2 Travel Time Cost Savings'!E6</f>
        <v>12.623397782119692</v>
      </c>
      <c r="G59" s="275">
        <f>'F2 Travel Time Cost Savings'!F6</f>
        <v>1308.5859278878552</v>
      </c>
      <c r="H59" s="276">
        <f>'F2 Travel Time Cost Savings'!G6</f>
        <v>477633.86367906712</v>
      </c>
      <c r="I59" s="277">
        <f>'F2 Travel Time Cost Savings'!H6</f>
        <v>389891.50885239709</v>
      </c>
      <c r="J59" s="275">
        <f>'F2 Travel Time Cost Savings'!I6</f>
        <v>437102.64657052228</v>
      </c>
    </row>
    <row r="60" spans="2:11" x14ac:dyDescent="0.25">
      <c r="B60" s="264">
        <v>2020</v>
      </c>
      <c r="C60" s="265">
        <f>'F2 Travel Time Cost Savings'!B7</f>
        <v>9598.3430258675562</v>
      </c>
      <c r="D60" s="266">
        <f>'F2 Travel Time Cost Savings'!C7</f>
        <v>55.162890953262838</v>
      </c>
      <c r="E60" s="265">
        <f>'F2 Travel Time Cost Savings'!D7</f>
        <v>42.337518806629227</v>
      </c>
      <c r="F60" s="274">
        <f>'F2 Travel Time Cost Savings'!E7</f>
        <v>12.82537214663361</v>
      </c>
      <c r="G60" s="275">
        <f>'F2 Travel Time Cost Savings'!F7</f>
        <v>1329.5233027340614</v>
      </c>
      <c r="H60" s="276">
        <f>'F2 Travel Time Cost Savings'!G7</f>
        <v>485276.00549793243</v>
      </c>
      <c r="I60" s="277">
        <f>'F2 Travel Time Cost Savings'!H7</f>
        <v>370214.74111592118</v>
      </c>
      <c r="J60" s="275">
        <f>'F2 Travel Time Cost Savings'!I7</f>
        <v>431161.44554917567</v>
      </c>
    </row>
    <row r="61" spans="2:11" x14ac:dyDescent="0.25">
      <c r="B61" s="264">
        <v>2021</v>
      </c>
      <c r="C61" s="265">
        <f>'F2 Travel Time Cost Savings'!B8</f>
        <v>9751.9165142814363</v>
      </c>
      <c r="D61" s="266">
        <f>'F2 Travel Time Cost Savings'!C8</f>
        <v>56.045497208515044</v>
      </c>
      <c r="E61" s="265">
        <f>'F2 Travel Time Cost Savings'!D8</f>
        <v>43.014919107535292</v>
      </c>
      <c r="F61" s="274">
        <f>'F2 Travel Time Cost Savings'!E8</f>
        <v>13.030578100979749</v>
      </c>
      <c r="G61" s="275">
        <f>'F2 Travel Time Cost Savings'!F8</f>
        <v>1350.7956755778062</v>
      </c>
      <c r="H61" s="276">
        <f>'F2 Travel Time Cost Savings'!G8</f>
        <v>493040.42158589925</v>
      </c>
      <c r="I61" s="277">
        <f>'F2 Travel Time Cost Savings'!H8</f>
        <v>351531.00651754747</v>
      </c>
      <c r="J61" s="275">
        <f>'F2 Travel Time Cost Savings'!I8</f>
        <v>425300.99871646834</v>
      </c>
    </row>
    <row r="62" spans="2:11" x14ac:dyDescent="0.25">
      <c r="B62" s="264">
        <v>2022</v>
      </c>
      <c r="C62" s="265">
        <f>'F2 Travel Time Cost Savings'!B9</f>
        <v>9907.9471785099395</v>
      </c>
      <c r="D62" s="266">
        <f>'F2 Travel Time Cost Savings'!C9</f>
        <v>56.942225163851283</v>
      </c>
      <c r="E62" s="265">
        <f>'F2 Travel Time Cost Savings'!D9</f>
        <v>43.703157813255856</v>
      </c>
      <c r="F62" s="274">
        <f>'F2 Travel Time Cost Savings'!E9</f>
        <v>13.239067350595423</v>
      </c>
      <c r="G62" s="275">
        <f>'F2 Travel Time Cost Savings'!F9</f>
        <v>1372.4084063870509</v>
      </c>
      <c r="H62" s="276">
        <f>'F2 Travel Time Cost Savings'!G9</f>
        <v>500929.06833127362</v>
      </c>
      <c r="I62" s="277">
        <f>'F2 Travel Time Cost Savings'!H9</f>
        <v>333790.18936619465</v>
      </c>
      <c r="J62" s="275">
        <f>'F2 Travel Time Cost Savings'!I9</f>
        <v>419520.20844265225</v>
      </c>
    </row>
    <row r="63" spans="2:11" x14ac:dyDescent="0.25">
      <c r="B63" s="264">
        <v>2023</v>
      </c>
      <c r="C63" s="265">
        <f>'F2 Travel Time Cost Savings'!B10</f>
        <v>10066.474333366099</v>
      </c>
      <c r="D63" s="266">
        <f>'F2 Travel Time Cost Savings'!C10</f>
        <v>57.853300766472906</v>
      </c>
      <c r="E63" s="265">
        <f>'F2 Travel Time Cost Savings'!D10</f>
        <v>44.402408338267954</v>
      </c>
      <c r="F63" s="274">
        <f>'F2 Travel Time Cost Savings'!E10</f>
        <v>13.450892428204952</v>
      </c>
      <c r="G63" s="275">
        <f>'F2 Travel Time Cost Savings'!F10</f>
        <v>1394.366940889244</v>
      </c>
      <c r="H63" s="276">
        <f>'F2 Travel Time Cost Savings'!G10</f>
        <v>508943.93342457409</v>
      </c>
      <c r="I63" s="277">
        <f>'F2 Travel Time Cost Savings'!H10</f>
        <v>316944.70317388204</v>
      </c>
      <c r="J63" s="275">
        <f>'F2 Travel Time Cost Savings'!I10</f>
        <v>413817.99201721814</v>
      </c>
    </row>
    <row r="64" spans="2:11" x14ac:dyDescent="0.25">
      <c r="B64" s="264">
        <v>2024</v>
      </c>
      <c r="C64" s="265">
        <f>'F2 Travel Time Cost Savings'!B11</f>
        <v>10227.537922699956</v>
      </c>
      <c r="D64" s="266">
        <f>'F2 Travel Time Cost Savings'!C11</f>
        <v>58.77895357873647</v>
      </c>
      <c r="E64" s="265">
        <f>'F2 Travel Time Cost Savings'!D11</f>
        <v>45.11284687168024</v>
      </c>
      <c r="F64" s="274">
        <f>'F2 Travel Time Cost Savings'!E11</f>
        <v>13.66610670705623</v>
      </c>
      <c r="G64" s="275">
        <f>'F2 Travel Time Cost Savings'!F11</f>
        <v>1416.6768119434719</v>
      </c>
      <c r="H64" s="276">
        <f>'F2 Travel Time Cost Savings'!G11</f>
        <v>517087.03635936725</v>
      </c>
      <c r="I64" s="277">
        <f>'F2 Travel Time Cost Savings'!H11</f>
        <v>300949.36301370483</v>
      </c>
      <c r="J64" s="275">
        <f>'F2 Travel Time Cost Savings'!I11</f>
        <v>408193.2814461104</v>
      </c>
    </row>
    <row r="65" spans="2:10" x14ac:dyDescent="0.25">
      <c r="B65" s="264">
        <v>2025</v>
      </c>
      <c r="C65" s="265">
        <f>'F2 Travel Time Cost Savings'!B12</f>
        <v>10391.178529463155</v>
      </c>
      <c r="D65" s="266">
        <f>'F2 Travel Time Cost Savings'!C12</f>
        <v>59.719416835996256</v>
      </c>
      <c r="E65" s="265">
        <f>'F2 Travel Time Cost Savings'!D12</f>
        <v>45.834652421627126</v>
      </c>
      <c r="F65" s="274">
        <f>'F2 Travel Time Cost Savings'!E12</f>
        <v>13.88476441436913</v>
      </c>
      <c r="G65" s="275">
        <f>'F2 Travel Time Cost Savings'!F12</f>
        <v>1439.3436409345675</v>
      </c>
      <c r="H65" s="276">
        <f>'F2 Travel Time Cost Savings'!G12</f>
        <v>525360.42894111713</v>
      </c>
      <c r="I65" s="277">
        <f>'F2 Travel Time Cost Savings'!H12</f>
        <v>285761.26431955519</v>
      </c>
      <c r="J65" s="275">
        <f>'F2 Travel Time Cost Savings'!I12</f>
        <v>402645.02325169719</v>
      </c>
    </row>
    <row r="66" spans="2:10" x14ac:dyDescent="0.25">
      <c r="B66" s="264">
        <v>2026</v>
      </c>
      <c r="C66" s="265">
        <f>'F2 Travel Time Cost Savings'!B13</f>
        <v>10557.437385934565</v>
      </c>
      <c r="D66" s="266">
        <f>'F2 Travel Time Cost Savings'!C13</f>
        <v>60.674927505372189</v>
      </c>
      <c r="E66" s="265">
        <f>'F2 Travel Time Cost Savings'!D13</f>
        <v>46.568006860373153</v>
      </c>
      <c r="F66" s="274">
        <f>'F2 Travel Time Cost Savings'!E13</f>
        <v>14.106920644999034</v>
      </c>
      <c r="G66" s="275">
        <f>'F2 Travel Time Cost Savings'!F13</f>
        <v>1462.3731391895203</v>
      </c>
      <c r="H66" s="276">
        <f>'F2 Travel Time Cost Savings'!G13</f>
        <v>533766.19580417487</v>
      </c>
      <c r="I66" s="277">
        <f>'F2 Travel Time Cost Savings'!H13</f>
        <v>271339.6678024935</v>
      </c>
      <c r="J66" s="275">
        <f>'F2 Travel Time Cost Savings'!I13</f>
        <v>397172.17827546044</v>
      </c>
    </row>
    <row r="67" spans="2:10" x14ac:dyDescent="0.25">
      <c r="B67" s="264">
        <v>2027</v>
      </c>
      <c r="C67" s="265">
        <f>'F2 Travel Time Cost Savings'!B14</f>
        <v>10726.356384109518</v>
      </c>
      <c r="D67" s="266">
        <f>'F2 Travel Time Cost Savings'!C14</f>
        <v>61.645726345458144</v>
      </c>
      <c r="E67" s="265">
        <f>'F2 Travel Time Cost Savings'!D14</f>
        <v>47.313094970139126</v>
      </c>
      <c r="F67" s="274">
        <f>'F2 Travel Time Cost Savings'!E14</f>
        <v>14.33263137531902</v>
      </c>
      <c r="G67" s="275">
        <f>'F2 Travel Time Cost Savings'!F14</f>
        <v>1485.7711094165527</v>
      </c>
      <c r="H67" s="276">
        <f>'F2 Travel Time Cost Savings'!G14</f>
        <v>542306.45493704174</v>
      </c>
      <c r="I67" s="277">
        <f>'F2 Travel Time Cost Savings'!H14</f>
        <v>257645.89017507792</v>
      </c>
      <c r="J67" s="275">
        <f>'F2 Travel Time Cost Savings'!I14</f>
        <v>391773.72148336685</v>
      </c>
    </row>
    <row r="68" spans="2:10" x14ac:dyDescent="0.25">
      <c r="B68" s="264">
        <v>2028</v>
      </c>
      <c r="C68" s="265">
        <f>'F2 Travel Time Cost Savings'!B15</f>
        <v>10897.978086255271</v>
      </c>
      <c r="D68" s="266">
        <f>'F2 Travel Time Cost Savings'!C15</f>
        <v>62.632057966985478</v>
      </c>
      <c r="E68" s="265">
        <f>'F2 Travel Time Cost Savings'!D15</f>
        <v>48.070104489661354</v>
      </c>
      <c r="F68" s="274">
        <f>'F2 Travel Time Cost Savings'!E15</f>
        <v>14.561953477324124</v>
      </c>
      <c r="G68" s="275">
        <f>'F2 Travel Time Cost Savings'!F15</f>
        <v>1509.5434471672177</v>
      </c>
      <c r="H68" s="276">
        <f>'F2 Travel Time Cost Savings'!G15</f>
        <v>550983.35821603448</v>
      </c>
      <c r="I68" s="277">
        <f>'F2 Travel Time Cost Savings'!H15</f>
        <v>244643.20039054134</v>
      </c>
      <c r="J68" s="275">
        <f>'F2 Travel Time Cost Savings'!I15</f>
        <v>386448.6417738843</v>
      </c>
    </row>
    <row r="69" spans="2:10" x14ac:dyDescent="0.25">
      <c r="B69" s="264">
        <v>2029</v>
      </c>
      <c r="C69" s="265">
        <f>'F2 Travel Time Cost Savings'!B16</f>
        <v>11072.345735635354</v>
      </c>
      <c r="D69" s="266">
        <f>'F2 Travel Time Cost Savings'!C16</f>
        <v>63.634170894457235</v>
      </c>
      <c r="E69" s="265">
        <f>'F2 Travel Time Cost Savings'!D16</f>
        <v>48.839226161495922</v>
      </c>
      <c r="F69" s="274">
        <f>'F2 Travel Time Cost Savings'!E16</f>
        <v>14.794944732961309</v>
      </c>
      <c r="G69" s="275">
        <f>'F2 Travel Time Cost Savings'!F16</f>
        <v>1533.6961423218927</v>
      </c>
      <c r="H69" s="276">
        <f>'F2 Travel Time Cost Savings'!G16</f>
        <v>559799.09194749082</v>
      </c>
      <c r="I69" s="277">
        <f>'F2 Travel Time Cost Savings'!H16</f>
        <v>232296.72111849522</v>
      </c>
      <c r="J69" s="275">
        <f>'F2 Travel Time Cost Savings'!I16</f>
        <v>381195.94178860809</v>
      </c>
    </row>
    <row r="70" spans="2:10" x14ac:dyDescent="0.25">
      <c r="B70" s="264">
        <v>2030</v>
      </c>
      <c r="C70" s="265">
        <f>'F2 Travel Time Cost Savings'!B17</f>
        <v>11249.50326740552</v>
      </c>
      <c r="D70" s="266">
        <f>'F2 Travel Time Cost Savings'!C17</f>
        <v>64.652317628768557</v>
      </c>
      <c r="E70" s="265">
        <f>'F2 Travel Time Cost Savings'!D17</f>
        <v>49.620653780079863</v>
      </c>
      <c r="F70" s="274">
        <f>'F2 Travel Time Cost Savings'!E17</f>
        <v>15.031663848688691</v>
      </c>
      <c r="G70" s="275">
        <f>'F2 Travel Time Cost Savings'!F17</f>
        <v>1558.2352805990433</v>
      </c>
      <c r="H70" s="276">
        <f>'F2 Travel Time Cost Savings'!G17</f>
        <v>568755.87741865078</v>
      </c>
      <c r="I70" s="277">
        <f>'F2 Travel Time Cost Savings'!H17</f>
        <v>220573.33519288898</v>
      </c>
      <c r="J70" s="275">
        <f>'F2 Travel Time Cost Savings'!I17</f>
        <v>376014.63772546197</v>
      </c>
    </row>
    <row r="71" spans="2:10" x14ac:dyDescent="0.25">
      <c r="B71" s="264">
        <v>2031</v>
      </c>
      <c r="C71" s="265">
        <f>'F2 Travel Time Cost Savings'!B18</f>
        <v>11429.495319684007</v>
      </c>
      <c r="D71" s="266">
        <f>'F2 Travel Time Cost Savings'!C18</f>
        <v>65.686754710828851</v>
      </c>
      <c r="E71" s="265">
        <f>'F2 Travel Time Cost Savings'!D18</f>
        <v>50.41458424056114</v>
      </c>
      <c r="F71" s="274">
        <f>'F2 Travel Time Cost Savings'!E18</f>
        <v>15.272170470267708</v>
      </c>
      <c r="G71" s="275">
        <f>'F2 Travel Time Cost Savings'!F18</f>
        <v>1583.1670450886279</v>
      </c>
      <c r="H71" s="276">
        <f>'F2 Travel Time Cost Savings'!G18</f>
        <v>577855.97145734914</v>
      </c>
      <c r="I71" s="277">
        <f>'F2 Travel Time Cost Savings'!H18</f>
        <v>209441.59678128519</v>
      </c>
      <c r="J71" s="275">
        <f>'F2 Travel Time Cost Savings'!I18</f>
        <v>370903.75915443624</v>
      </c>
    </row>
    <row r="72" spans="2:10" x14ac:dyDescent="0.25">
      <c r="B72" s="264">
        <v>2032</v>
      </c>
      <c r="C72" s="265">
        <f>'F2 Travel Time Cost Savings'!B19</f>
        <v>11612.367244798952</v>
      </c>
      <c r="D72" s="266">
        <f>'F2 Travel Time Cost Savings'!C19</f>
        <v>66.737742786202105</v>
      </c>
      <c r="E72" s="265">
        <f>'F2 Travel Time Cost Savings'!D19</f>
        <v>51.221217588410113</v>
      </c>
      <c r="F72" s="274">
        <f>'F2 Travel Time Cost Savings'!E19</f>
        <v>15.51652519779199</v>
      </c>
      <c r="G72" s="275">
        <f>'F2 Travel Time Cost Savings'!F19</f>
        <v>1608.4977178100457</v>
      </c>
      <c r="H72" s="276">
        <f>'F2 Travel Time Cost Savings'!G19</f>
        <v>587101.66700066673</v>
      </c>
      <c r="I72" s="277">
        <f>'F2 Travel Time Cost Savings'!H19</f>
        <v>198871.64703718299</v>
      </c>
      <c r="J72" s="275">
        <f>'F2 Travel Time Cost Savings'!I19</f>
        <v>365862.34883583232</v>
      </c>
    </row>
    <row r="73" spans="2:10" x14ac:dyDescent="0.25">
      <c r="B73" s="264">
        <v>2033</v>
      </c>
      <c r="C73" s="265">
        <f>'F2 Travel Time Cost Savings'!B20</f>
        <v>11798.165120715736</v>
      </c>
      <c r="D73" s="266">
        <f>'F2 Travel Time Cost Savings'!C20</f>
        <v>67.805546670781354</v>
      </c>
      <c r="E73" s="265">
        <f>'F2 Travel Time Cost Savings'!D20</f>
        <v>52.040757069824686</v>
      </c>
      <c r="F73" s="274">
        <f>'F2 Travel Time Cost Savings'!E20</f>
        <v>15.764789600956666</v>
      </c>
      <c r="G73" s="275">
        <f>'F2 Travel Time Cost Savings'!F20</f>
        <v>1634.2336812950068</v>
      </c>
      <c r="H73" s="276">
        <f>'F2 Travel Time Cost Savings'!G20</f>
        <v>596495.29367267748</v>
      </c>
      <c r="I73" s="277">
        <f>'F2 Travel Time Cost Savings'!H20</f>
        <v>188835.13400913824</v>
      </c>
      <c r="J73" s="275">
        <f>'F2 Travel Time Cost Savings'!I20</f>
        <v>360889.46254097641</v>
      </c>
    </row>
    <row r="74" spans="2:10" x14ac:dyDescent="0.25">
      <c r="B74" s="264">
        <v>2034</v>
      </c>
      <c r="C74" s="265">
        <f>'F2 Travel Time Cost Savings'!B21</f>
        <v>11986.935762647186</v>
      </c>
      <c r="D74" s="266">
        <f>'F2 Travel Time Cost Savings'!C21</f>
        <v>68.890435417513842</v>
      </c>
      <c r="E74" s="265">
        <f>'F2 Travel Time Cost Savings'!D21</f>
        <v>52.87340918294187</v>
      </c>
      <c r="F74" s="274">
        <f>'F2 Travel Time Cost Savings'!E21</f>
        <v>16.017026234571969</v>
      </c>
      <c r="G74" s="275">
        <f>'F2 Travel Time Cost Savings'!F21</f>
        <v>1660.3814201957266</v>
      </c>
      <c r="H74" s="276">
        <f>'F2 Travel Time Cost Savings'!G21</f>
        <v>606039.21837144019</v>
      </c>
      <c r="I74" s="277">
        <f>'F2 Travel Time Cost Savings'!H21</f>
        <v>179305.13659185459</v>
      </c>
      <c r="J74" s="275">
        <f>'F2 Travel Time Cost Savings'!I21</f>
        <v>355984.16887537081</v>
      </c>
    </row>
    <row r="75" spans="2:10" x14ac:dyDescent="0.25">
      <c r="B75" s="264">
        <v>2035</v>
      </c>
      <c r="C75" s="265">
        <f>'F2 Travel Time Cost Savings'!B22</f>
        <v>12178.726734849542</v>
      </c>
      <c r="D75" s="266">
        <f>'F2 Travel Time Cost Savings'!C22</f>
        <v>69.992682384194069</v>
      </c>
      <c r="E75" s="265">
        <f>'F2 Travel Time Cost Savings'!D22</f>
        <v>53.719383729868944</v>
      </c>
      <c r="F75" s="274">
        <f>'F2 Travel Time Cost Savings'!E22</f>
        <v>16.273298654325121</v>
      </c>
      <c r="G75" s="275">
        <f>'F2 Travel Time Cost Savings'!F22</f>
        <v>1686.9475229188583</v>
      </c>
      <c r="H75" s="276">
        <f>'F2 Travel Time Cost Savings'!G22</f>
        <v>615735.84586538328</v>
      </c>
      <c r="I75" s="277">
        <f>'F2 Travel Time Cost Savings'!H22</f>
        <v>170256.09231525633</v>
      </c>
      <c r="J75" s="275">
        <f>'F2 Travel Time Cost Savings'!I22</f>
        <v>351145.54910424928</v>
      </c>
    </row>
    <row r="76" spans="2:10" x14ac:dyDescent="0.25">
      <c r="B76" s="264">
        <v>2036</v>
      </c>
      <c r="C76" s="265">
        <f>'F2 Travel Time Cost Savings'!B23</f>
        <v>12373.586362607135</v>
      </c>
      <c r="D76" s="266">
        <f>'F2 Travel Time Cost Savings'!C23</f>
        <v>71.112565302341181</v>
      </c>
      <c r="E76" s="265">
        <f>'F2 Travel Time Cost Savings'!D23</f>
        <v>54.578893869546853</v>
      </c>
      <c r="F76" s="274">
        <f>'F2 Travel Time Cost Savings'!E23</f>
        <v>16.533671432794325</v>
      </c>
      <c r="G76" s="275">
        <f>'F2 Travel Time Cost Savings'!F23</f>
        <v>1713.9386832855603</v>
      </c>
      <c r="H76" s="276">
        <f>'F2 Travel Time Cost Savings'!G23</f>
        <v>625587.61939922953</v>
      </c>
      <c r="I76" s="277">
        <f>'F2 Travel Time Cost Savings'!H23</f>
        <v>161663.72877785092</v>
      </c>
      <c r="J76" s="275">
        <f>'F2 Travel Time Cost Savings'!I23</f>
        <v>346372.69698050228</v>
      </c>
    </row>
    <row r="77" spans="2:10" x14ac:dyDescent="0.25">
      <c r="B77" s="264">
        <v>2037</v>
      </c>
      <c r="C77" s="265">
        <f>'F2 Travel Time Cost Savings'!B24</f>
        <v>12571.56374440885</v>
      </c>
      <c r="D77" s="266">
        <f>'F2 Travel Time Cost Savings'!C24</f>
        <v>72.250366347178641</v>
      </c>
      <c r="E77" s="265">
        <f>'F2 Travel Time Cost Savings'!D24</f>
        <v>55.452156171459606</v>
      </c>
      <c r="F77" s="274">
        <f>'F2 Travel Time Cost Savings'!E24</f>
        <v>16.798210175719035</v>
      </c>
      <c r="G77" s="275">
        <f>'F2 Travel Time Cost Savings'!F24</f>
        <v>1741.3617022181293</v>
      </c>
      <c r="H77" s="276">
        <f>'F2 Travel Time Cost Savings'!G24</f>
        <v>635597.02130961721</v>
      </c>
      <c r="I77" s="277">
        <f>'F2 Travel Time Cost Savings'!H24</f>
        <v>153504.99854046403</v>
      </c>
      <c r="J77" s="275">
        <f>'F2 Travel Time Cost Savings'!I24</f>
        <v>341664.71857494209</v>
      </c>
    </row>
    <row r="78" spans="2:10" x14ac:dyDescent="0.25">
      <c r="B78" s="264">
        <v>2038</v>
      </c>
      <c r="C78" s="265">
        <f>'F2 Travel Time Cost Savings'!B25</f>
        <v>12772.70876431939</v>
      </c>
      <c r="D78" s="266">
        <f>'F2 Travel Time Cost Savings'!C25</f>
        <v>73.406372208733487</v>
      </c>
      <c r="E78" s="265">
        <f>'F2 Travel Time Cost Savings'!D25</f>
        <v>56.339390670202945</v>
      </c>
      <c r="F78" s="274">
        <f>'F2 Travel Time Cost Savings'!E25</f>
        <v>17.066981538530538</v>
      </c>
      <c r="G78" s="275">
        <f>'F2 Travel Time Cost Savings'!F25</f>
        <v>1769.2234894536191</v>
      </c>
      <c r="H78" s="276">
        <f>'F2 Travel Time Cost Savings'!G25</f>
        <v>645766.57365057094</v>
      </c>
      <c r="I78" s="277">
        <f>'F2 Travel Time Cost Savings'!H25</f>
        <v>145758.01730571163</v>
      </c>
      <c r="J78" s="275">
        <f>'F2 Travel Time Cost Savings'!I25</f>
        <v>337020.73210887483</v>
      </c>
    </row>
    <row r="79" spans="2:10" x14ac:dyDescent="0.25">
      <c r="B79" s="264">
        <v>2039</v>
      </c>
      <c r="C79" s="265">
        <f>'F2 Travel Time Cost Savings'!B26</f>
        <v>12977.072104548501</v>
      </c>
      <c r="D79" s="266">
        <f>'F2 Travel Time Cost Savings'!C26</f>
        <v>74.580874164073222</v>
      </c>
      <c r="E79" s="265">
        <f>'F2 Travel Time Cost Savings'!D26</f>
        <v>57.240820920926197</v>
      </c>
      <c r="F79" s="274">
        <f>'F2 Travel Time Cost Savings'!E26</f>
        <v>17.340053243147025</v>
      </c>
      <c r="G79" s="275">
        <f>'F2 Travel Time Cost Savings'!F26</f>
        <v>1797.5310652848771</v>
      </c>
      <c r="H79" s="276">
        <f>'F2 Travel Time Cost Savings'!G26</f>
        <v>656098.83882898011</v>
      </c>
      <c r="I79" s="277">
        <f>'F2 Travel Time Cost Savings'!H26</f>
        <v>138402.005217386</v>
      </c>
      <c r="J79" s="275">
        <f>'F2 Travel Time Cost Savings'!I26</f>
        <v>332439.86778894835</v>
      </c>
    </row>
    <row r="80" spans="2:10" x14ac:dyDescent="0.25">
      <c r="B80" s="264">
        <v>2040</v>
      </c>
      <c r="C80" s="265">
        <f>'F2 Travel Time Cost Savings'!B27</f>
        <v>13184.705258221278</v>
      </c>
      <c r="D80" s="266">
        <f>'F2 Travel Time Cost Savings'!C27</f>
        <v>75.774168150698401</v>
      </c>
      <c r="E80" s="265">
        <f>'F2 Travel Time Cost Savings'!D27</f>
        <v>58.156674055661021</v>
      </c>
      <c r="F80" s="274">
        <f>'F2 Travel Time Cost Savings'!E27</f>
        <v>17.61749409503738</v>
      </c>
      <c r="G80" s="275">
        <f>'F2 Travel Time Cost Savings'!F27</f>
        <v>1826.2915623294352</v>
      </c>
      <c r="H80" s="276">
        <f>'F2 Travel Time Cost Savings'!G27</f>
        <v>666596.42025024386</v>
      </c>
      <c r="I80" s="277">
        <f>'F2 Travel Time Cost Savings'!H27</f>
        <v>131417.23112230297</v>
      </c>
      <c r="J80" s="275">
        <f>'F2 Travel Time Cost Savings'!I27</f>
        <v>327921.2676442443</v>
      </c>
    </row>
    <row r="81" spans="2:10" ht="14.4" thickBot="1" x14ac:dyDescent="0.3">
      <c r="B81" s="256" t="s">
        <v>32</v>
      </c>
      <c r="C81" s="269">
        <f>'F2 Travel Time Cost Savings'!B28</f>
        <v>274237.78389705112</v>
      </c>
      <c r="D81" s="270">
        <f>'F2 Travel Time Cost Savings'!C28</f>
        <v>1576.0792177991736</v>
      </c>
      <c r="E81" s="269">
        <f>'F2 Travel Time Cost Savings'!D28</f>
        <v>1209.6407996608655</v>
      </c>
      <c r="F81" s="278">
        <f>'F2 Travel Time Cost Savings'!E28</f>
        <v>366.43841813830784</v>
      </c>
      <c r="G81" s="279">
        <f>'F2 Travel Time Cost Savings'!F28</f>
        <v>37986.298593274318</v>
      </c>
      <c r="H81" s="280">
        <f>'F2 Travel Time Cost Savings'!G28</f>
        <v>13864998.986545129</v>
      </c>
      <c r="I81" s="281">
        <f>'F2 Travel Time Cost Savings'!H28</f>
        <v>6551511.3131950488</v>
      </c>
      <c r="J81" s="279">
        <f>'F2 Travel Time Cost Savings'!I28</f>
        <v>9708330.7599042449</v>
      </c>
    </row>
    <row r="83" spans="2:10" ht="14.4" thickBot="1" x14ac:dyDescent="0.35"/>
    <row r="84" spans="2:10" ht="18" thickBot="1" x14ac:dyDescent="0.35">
      <c r="B84" s="321" t="s">
        <v>203</v>
      </c>
      <c r="C84" s="322"/>
      <c r="D84" s="322"/>
      <c r="E84" s="322"/>
      <c r="F84" s="322"/>
      <c r="G84" s="322"/>
      <c r="H84" s="322"/>
      <c r="I84" s="322"/>
      <c r="J84" s="323"/>
    </row>
    <row r="85" spans="2:10" ht="15.75" customHeight="1" thickBot="1" x14ac:dyDescent="0.3">
      <c r="B85" s="313" t="s">
        <v>0</v>
      </c>
      <c r="C85" s="313" t="s">
        <v>33</v>
      </c>
      <c r="D85" s="319" t="s">
        <v>199</v>
      </c>
      <c r="E85" s="282">
        <v>7.0000000000000007E-2</v>
      </c>
      <c r="F85" s="283">
        <v>0.03</v>
      </c>
      <c r="G85" s="319" t="s">
        <v>200</v>
      </c>
      <c r="H85" s="319" t="s">
        <v>216</v>
      </c>
      <c r="I85" s="282">
        <v>7.0000000000000007E-2</v>
      </c>
      <c r="J85" s="283">
        <v>0.03</v>
      </c>
    </row>
    <row r="86" spans="2:10" ht="55.2" x14ac:dyDescent="0.3">
      <c r="B86" s="314"/>
      <c r="C86" s="314"/>
      <c r="D86" s="320"/>
      <c r="E86" s="284" t="s">
        <v>81</v>
      </c>
      <c r="F86" s="284" t="s">
        <v>215</v>
      </c>
      <c r="G86" s="320"/>
      <c r="H86" s="320"/>
      <c r="I86" s="284" t="s">
        <v>217</v>
      </c>
      <c r="J86" s="284" t="s">
        <v>218</v>
      </c>
    </row>
    <row r="87" spans="2:10" x14ac:dyDescent="0.25">
      <c r="B87" s="264">
        <v>2016</v>
      </c>
      <c r="C87" s="265">
        <f>'F3 Emission Cost Savings'!C4</f>
        <v>630549.91999999993</v>
      </c>
      <c r="D87" s="285">
        <f>'F3 Emission Cost Savings'!J4</f>
        <v>138876.44925450187</v>
      </c>
      <c r="E87" s="285">
        <f>'F3 Emission Cost Savings'!K4</f>
        <v>138876.44925450187</v>
      </c>
      <c r="F87" s="285">
        <f>'F3 Emission Cost Savings'!L4</f>
        <v>138876.44925450187</v>
      </c>
      <c r="G87" s="285">
        <f>'F3 Emission Cost Savings'!M4</f>
        <v>293584.50514749956</v>
      </c>
      <c r="H87" s="285">
        <f>'F3 Emission Cost Savings'!N4</f>
        <v>432460.95440200146</v>
      </c>
      <c r="I87" s="285">
        <f>'F3 Emission Cost Savings'!O4</f>
        <v>293584.50514749956</v>
      </c>
      <c r="J87" s="285">
        <f>'F3 Emission Cost Savings'!P4</f>
        <v>293584.50514749956</v>
      </c>
    </row>
    <row r="88" spans="2:10" x14ac:dyDescent="0.25">
      <c r="B88" s="264">
        <v>2017</v>
      </c>
      <c r="C88" s="265">
        <f>'F3 Emission Cost Savings'!C5</f>
        <v>640638.71872</v>
      </c>
      <c r="D88" s="285">
        <f>'F3 Emission Cost Savings'!J5</f>
        <v>144379.83226681987</v>
      </c>
      <c r="E88" s="285">
        <f>'F3 Emission Cost Savings'!K5</f>
        <v>134934.42267927091</v>
      </c>
      <c r="F88" s="285">
        <f>'F3 Emission Cost Savings'!L5</f>
        <v>134934.42267927091</v>
      </c>
      <c r="G88" s="285">
        <f>'F3 Emission Cost Savings'!M5</f>
        <v>298281.85722985951</v>
      </c>
      <c r="H88" s="285">
        <f>'F3 Emission Cost Savings'!N5</f>
        <v>442661.68949667935</v>
      </c>
      <c r="I88" s="285">
        <f>'F3 Emission Cost Savings'!O5</f>
        <v>278768.09086902754</v>
      </c>
      <c r="J88" s="285">
        <f>'F3 Emission Cost Savings'!P5</f>
        <v>289594.03614549467</v>
      </c>
    </row>
    <row r="89" spans="2:10" x14ac:dyDescent="0.25">
      <c r="B89" s="264">
        <v>2018</v>
      </c>
      <c r="C89" s="265">
        <f>'F3 Emission Cost Savings'!C6</f>
        <v>650888.93821952003</v>
      </c>
      <c r="D89" s="285">
        <f>'F3 Emission Cost Savings'!J6</f>
        <v>150023.77116452283</v>
      </c>
      <c r="E89" s="285">
        <f>'F3 Emission Cost Savings'!K6</f>
        <v>131036.57189669213</v>
      </c>
      <c r="F89" s="285">
        <f>'F3 Emission Cost Savings'!L6</f>
        <v>131036.57189669213</v>
      </c>
      <c r="G89" s="285">
        <f>'F3 Emission Cost Savings'!M6</f>
        <v>303054.36694553727</v>
      </c>
      <c r="H89" s="285">
        <f>'F3 Emission Cost Savings'!N6</f>
        <v>453078.13811006013</v>
      </c>
      <c r="I89" s="285">
        <f>'F3 Emission Cost Savings'!O6</f>
        <v>264699.42086255329</v>
      </c>
      <c r="J89" s="285">
        <f>'F3 Emission Cost Savings'!P6</f>
        <v>285657.80652798311</v>
      </c>
    </row>
    <row r="90" spans="2:10" x14ac:dyDescent="0.25">
      <c r="B90" s="264">
        <v>2019</v>
      </c>
      <c r="C90" s="265">
        <f>'F3 Emission Cost Savings'!C7</f>
        <v>661303.16123103234</v>
      </c>
      <c r="D90" s="285">
        <f>'F3 Emission Cost Savings'!J7</f>
        <v>155811.35486989198</v>
      </c>
      <c r="E90" s="285">
        <f>'F3 Emission Cost Savings'!K7</f>
        <v>127188.47817577992</v>
      </c>
      <c r="F90" s="285">
        <f>'F3 Emission Cost Savings'!L7</f>
        <v>127188.47817577992</v>
      </c>
      <c r="G90" s="285">
        <f>'F3 Emission Cost Savings'!M7</f>
        <v>307903.23681666591</v>
      </c>
      <c r="H90" s="285">
        <f>'F3 Emission Cost Savings'!N7</f>
        <v>463714.59168655786</v>
      </c>
      <c r="I90" s="285">
        <f>'F3 Emission Cost Savings'!O7</f>
        <v>251340.75850126558</v>
      </c>
      <c r="J90" s="285">
        <f>'F3 Emission Cost Savings'!P7</f>
        <v>281775.07906061248</v>
      </c>
    </row>
    <row r="91" spans="2:10" x14ac:dyDescent="0.25">
      <c r="B91" s="264">
        <v>2020</v>
      </c>
      <c r="C91" s="265">
        <f>'F3 Emission Cost Savings'!C8</f>
        <v>671884.01181072893</v>
      </c>
      <c r="D91" s="285">
        <f>'F3 Emission Cost Savings'!J8</f>
        <v>161745.73516841483</v>
      </c>
      <c r="E91" s="285">
        <f>'F3 Emission Cost Savings'!K8</f>
        <v>123395.04692909069</v>
      </c>
      <c r="F91" s="285">
        <f>'F3 Emission Cost Savings'!L8</f>
        <v>123395.04692909069</v>
      </c>
      <c r="G91" s="285">
        <f>'F3 Emission Cost Savings'!M8</f>
        <v>312829.68860573252</v>
      </c>
      <c r="H91" s="285">
        <f>'F3 Emission Cost Savings'!N8</f>
        <v>474575.42377414735</v>
      </c>
      <c r="I91" s="285">
        <f>'F3 Emission Cost Savings'!O8</f>
        <v>238656.27162363159</v>
      </c>
      <c r="J91" s="285">
        <f>'F3 Emission Cost Savings'!P8</f>
        <v>277945.12652969151</v>
      </c>
    </row>
    <row r="92" spans="2:10" x14ac:dyDescent="0.25">
      <c r="B92" s="264">
        <v>2021</v>
      </c>
      <c r="C92" s="265">
        <f>'F3 Emission Cost Savings'!C9</f>
        <v>682634.15599970066</v>
      </c>
      <c r="D92" s="285">
        <f>'F3 Emission Cost Savings'!J9</f>
        <v>164333.6669311095</v>
      </c>
      <c r="E92" s="285">
        <f>'F3 Emission Cost Savings'!K9</f>
        <v>117167.63334575342</v>
      </c>
      <c r="F92" s="285">
        <f>'F3 Emission Cost Savings'!L9</f>
        <v>117167.63334575342</v>
      </c>
      <c r="G92" s="285">
        <f>'F3 Emission Cost Savings'!M9</f>
        <v>317834.96362342429</v>
      </c>
      <c r="H92" s="285">
        <f>'F3 Emission Cost Savings'!N9</f>
        <v>482168.6305545338</v>
      </c>
      <c r="I92" s="285">
        <f>'F3 Emission Cost Savings'!O9</f>
        <v>226611.936420196</v>
      </c>
      <c r="J92" s="285">
        <f>'F3 Emission Cost Savings'!P9</f>
        <v>274167.23160598706</v>
      </c>
    </row>
    <row r="93" spans="2:10" x14ac:dyDescent="0.25">
      <c r="B93" s="264">
        <v>2022</v>
      </c>
      <c r="C93" s="265">
        <f>'F3 Emission Cost Savings'!C10</f>
        <v>693556.30249569588</v>
      </c>
      <c r="D93" s="285">
        <f>'F3 Emission Cost Savings'!J10</f>
        <v>174067.81435102882</v>
      </c>
      <c r="E93" s="285">
        <f>'F3 Emission Cost Savings'!K10</f>
        <v>115988.7345095444</v>
      </c>
      <c r="F93" s="285">
        <f>'F3 Emission Cost Savings'!L10</f>
        <v>115988.7345095444</v>
      </c>
      <c r="G93" s="285">
        <f>'F3 Emission Cost Savings'!M10</f>
        <v>322920.32304139913</v>
      </c>
      <c r="H93" s="285">
        <f>'F3 Emission Cost Savings'!N10</f>
        <v>496988.13739242795</v>
      </c>
      <c r="I93" s="285">
        <f>'F3 Emission Cost Savings'!O10</f>
        <v>215175.44617095252</v>
      </c>
      <c r="J93" s="285">
        <f>'F3 Emission Cost Savings'!P10</f>
        <v>270440.68671037169</v>
      </c>
    </row>
    <row r="94" spans="2:10" x14ac:dyDescent="0.25">
      <c r="B94" s="264">
        <v>2023</v>
      </c>
      <c r="C94" s="265">
        <f>'F3 Emission Cost Savings'!C11</f>
        <v>704653.20333562698</v>
      </c>
      <c r="D94" s="285">
        <f>'F3 Emission Cost Savings'!J11</f>
        <v>180462.14222514824</v>
      </c>
      <c r="E94" s="285">
        <f>'F3 Emission Cost Savings'!K11</f>
        <v>112382.75249065144</v>
      </c>
      <c r="F94" s="285">
        <f>'F3 Emission Cost Savings'!L11</f>
        <v>112382.75249065144</v>
      </c>
      <c r="G94" s="285">
        <f>'F3 Emission Cost Savings'!M11</f>
        <v>328087.0482100615</v>
      </c>
      <c r="H94" s="285">
        <f>'F3 Emission Cost Savings'!N11</f>
        <v>508549.19043520978</v>
      </c>
      <c r="I94" s="285">
        <f>'F3 Emission Cost Savings'!O11</f>
        <v>204316.1245884932</v>
      </c>
      <c r="J94" s="285">
        <f>'F3 Emission Cost Savings'!P11</f>
        <v>266764.79388129868</v>
      </c>
    </row>
    <row r="95" spans="2:10" x14ac:dyDescent="0.25">
      <c r="B95" s="264">
        <v>2024</v>
      </c>
      <c r="C95" s="265">
        <f>'F3 Emission Cost Savings'!C12</f>
        <v>715927.65458899701</v>
      </c>
      <c r="D95" s="285">
        <f>'F3 Emission Cost Savings'!J12</f>
        <v>187016.52723076564</v>
      </c>
      <c r="E95" s="285">
        <f>'F3 Emission Cost Savings'!K12</f>
        <v>108845.32155244103</v>
      </c>
      <c r="F95" s="285">
        <f>'F3 Emission Cost Savings'!L12</f>
        <v>108845.32155244103</v>
      </c>
      <c r="G95" s="285">
        <f>'F3 Emission Cost Savings'!M12</f>
        <v>333336.44098142243</v>
      </c>
      <c r="H95" s="285">
        <f>'F3 Emission Cost Savings'!N12</f>
        <v>520352.96821218811</v>
      </c>
      <c r="I95" s="285">
        <f>'F3 Emission Cost Savings'!O12</f>
        <v>194004.84353449446</v>
      </c>
      <c r="J95" s="285">
        <f>'F3 Emission Cost Savings'!P12</f>
        <v>263138.86464407714</v>
      </c>
    </row>
    <row r="96" spans="2:10" x14ac:dyDescent="0.25">
      <c r="B96" s="264">
        <v>2025</v>
      </c>
      <c r="C96" s="265">
        <f>'F3 Emission Cost Savings'!C13</f>
        <v>727382.49706242094</v>
      </c>
      <c r="D96" s="285">
        <f>'F3 Emission Cost Savings'!J13</f>
        <v>193734.45424815308</v>
      </c>
      <c r="E96" s="285">
        <f>'F3 Emission Cost Savings'!K13</f>
        <v>105378.70676669529</v>
      </c>
      <c r="F96" s="285">
        <f>'F3 Emission Cost Savings'!L13</f>
        <v>105378.70676669529</v>
      </c>
      <c r="G96" s="285">
        <f>'F3 Emission Cost Savings'!M13</f>
        <v>338669.82403712522</v>
      </c>
      <c r="H96" s="285">
        <f>'F3 Emission Cost Savings'!N13</f>
        <v>532404.27828527824</v>
      </c>
      <c r="I96" s="285">
        <f>'F3 Emission Cost Savings'!O13</f>
        <v>184213.94488882838</v>
      </c>
      <c r="J96" s="285">
        <f>'F3 Emission Cost Savings'!P13</f>
        <v>259562.21988192463</v>
      </c>
    </row>
    <row r="97" spans="2:10" x14ac:dyDescent="0.25">
      <c r="B97" s="264">
        <v>2026</v>
      </c>
      <c r="C97" s="265">
        <f>'F3 Emission Cost Savings'!C14</f>
        <v>739020.61701541964</v>
      </c>
      <c r="D97" s="285">
        <f>'F3 Emission Cost Savings'!J14</f>
        <v>200619.47869912593</v>
      </c>
      <c r="E97" s="285">
        <f>'F3 Emission Cost Savings'!K14</f>
        <v>101984.76998513677</v>
      </c>
      <c r="F97" s="285">
        <f>'F3 Emission Cost Savings'!L14</f>
        <v>101984.76998513677</v>
      </c>
      <c r="G97" s="285">
        <f>'F3 Emission Cost Savings'!M14</f>
        <v>344088.54122171912</v>
      </c>
      <c r="H97" s="285">
        <f>'F3 Emission Cost Savings'!N14</f>
        <v>544708.01992084505</v>
      </c>
      <c r="I97" s="285">
        <f>'F3 Emission Cost Savings'!O14</f>
        <v>174917.16636172857</v>
      </c>
      <c r="J97" s="285">
        <f>'F3 Emission Cost Savings'!P14</f>
        <v>256034.18970877217</v>
      </c>
    </row>
    <row r="98" spans="2:10" x14ac:dyDescent="0.25">
      <c r="B98" s="264">
        <v>2027</v>
      </c>
      <c r="C98" s="265">
        <f>'F3 Emission Cost Savings'!C15</f>
        <v>750844.94688766624</v>
      </c>
      <c r="D98" s="285">
        <f>'F3 Emission Cost Savings'!J15</f>
        <v>207675.22791224229</v>
      </c>
      <c r="E98" s="285">
        <f>'F3 Emission Cost Savings'!K15</f>
        <v>98665.004769256586</v>
      </c>
      <c r="F98" s="285">
        <f>'F3 Emission Cost Savings'!L15</f>
        <v>98665.004769256586</v>
      </c>
      <c r="G98" s="285">
        <f>'F3 Emission Cost Savings'!M15</f>
        <v>349593.9578812666</v>
      </c>
      <c r="H98" s="285">
        <f>'F3 Emission Cost Savings'!N15</f>
        <v>557269.18579350889</v>
      </c>
      <c r="I98" s="285">
        <f>'F3 Emission Cost Savings'!O15</f>
        <v>166089.57105001513</v>
      </c>
      <c r="J98" s="285">
        <f>'F3 Emission Cost Savings'!P15</f>
        <v>252554.11334379856</v>
      </c>
    </row>
    <row r="99" spans="2:10" x14ac:dyDescent="0.25">
      <c r="B99" s="264">
        <v>2028</v>
      </c>
      <c r="C99" s="265">
        <f>'F3 Emission Cost Savings'!C16</f>
        <v>762858.46603786887</v>
      </c>
      <c r="D99" s="285">
        <f>'F3 Emission Cost Savings'!J16</f>
        <v>214905.40251363147</v>
      </c>
      <c r="E99" s="285">
        <f>'F3 Emission Cost Savings'!K16</f>
        <v>95420.568821496345</v>
      </c>
      <c r="F99" s="285">
        <f>'F3 Emission Cost Savings'!L16</f>
        <v>95420.568821496345</v>
      </c>
      <c r="G99" s="285">
        <f>'F3 Emission Cost Savings'!M16</f>
        <v>355187.4612073669</v>
      </c>
      <c r="H99" s="285">
        <f>'F3 Emission Cost Savings'!N16</f>
        <v>570092.8637209984</v>
      </c>
      <c r="I99" s="285">
        <f>'F3 Emission Cost Savings'!O16</f>
        <v>157707.48054842564</v>
      </c>
      <c r="J99" s="285">
        <f>'F3 Emission Cost Savings'!P16</f>
        <v>249121.33898766933</v>
      </c>
    </row>
    <row r="100" spans="2:10" x14ac:dyDescent="0.25">
      <c r="B100" s="264">
        <v>2029</v>
      </c>
      <c r="C100" s="265">
        <f>'F3 Emission Cost Savings'!C17</f>
        <v>775064.20149447478</v>
      </c>
      <c r="D100" s="285">
        <f>'F3 Emission Cost Savings'!J17</f>
        <v>218343.88895384962</v>
      </c>
      <c r="E100" s="285">
        <f>'F3 Emission Cost Savings'!K17</f>
        <v>90604.951329570365</v>
      </c>
      <c r="F100" s="285">
        <f>'F3 Emission Cost Savings'!L17</f>
        <v>90604.951329570365</v>
      </c>
      <c r="G100" s="285">
        <f>'F3 Emission Cost Savings'!M17</f>
        <v>360870.46058668476</v>
      </c>
      <c r="H100" s="285">
        <f>'F3 Emission Cost Savings'!N17</f>
        <v>579214.34954053443</v>
      </c>
      <c r="I100" s="285">
        <f>'F3 Emission Cost Savings'!O17</f>
        <v>149748.41143663591</v>
      </c>
      <c r="J100" s="285">
        <f>'F3 Emission Cost Savings'!P17</f>
        <v>245735.22370045827</v>
      </c>
    </row>
    <row r="101" spans="2:10" x14ac:dyDescent="0.25">
      <c r="B101" s="264">
        <v>2030</v>
      </c>
      <c r="C101" s="265">
        <f>'F3 Emission Cost Savings'!C18</f>
        <v>787465.22871838638</v>
      </c>
      <c r="D101" s="285">
        <f>'F3 Emission Cost Savings'!J18</f>
        <v>229904.20540173343</v>
      </c>
      <c r="E101" s="285">
        <f>'F3 Emission Cost Savings'!K18</f>
        <v>89160.814637180622</v>
      </c>
      <c r="F101" s="285">
        <f>'F3 Emission Cost Savings'!L18</f>
        <v>89160.814637180622</v>
      </c>
      <c r="G101" s="285">
        <f>'F3 Emission Cost Savings'!M18</f>
        <v>366644.38795607176</v>
      </c>
      <c r="H101" s="285">
        <f>'F3 Emission Cost Savings'!N18</f>
        <v>596548.59335780516</v>
      </c>
      <c r="I101" s="285">
        <f>'F3 Emission Cost Savings'!O18</f>
        <v>142191.01497160946</v>
      </c>
      <c r="J101" s="285">
        <f>'F3 Emission Cost Savings'!P18</f>
        <v>242395.13328122874</v>
      </c>
    </row>
    <row r="102" spans="2:10" x14ac:dyDescent="0.25">
      <c r="B102" s="264">
        <v>2031</v>
      </c>
      <c r="C102" s="265">
        <f>'F3 Emission Cost Savings'!C19</f>
        <v>800064.67237788055</v>
      </c>
      <c r="D102" s="285">
        <f>'F3 Emission Cost Savings'!J19</f>
        <v>237680.61431426927</v>
      </c>
      <c r="E102" s="285">
        <f>'F3 Emission Cost Savings'!K19</f>
        <v>86146.392604357752</v>
      </c>
      <c r="F102" s="285">
        <f>'F3 Emission Cost Savings'!L19</f>
        <v>86146.392604357752</v>
      </c>
      <c r="G102" s="285">
        <f>'F3 Emission Cost Savings'!M19</f>
        <v>372510.69816336886</v>
      </c>
      <c r="H102" s="285">
        <f>'F3 Emission Cost Savings'!N19</f>
        <v>610191.31247763813</v>
      </c>
      <c r="I102" s="285">
        <f>'F3 Emission Cost Savings'!O19</f>
        <v>135015.0198235095</v>
      </c>
      <c r="J102" s="285">
        <f>'F3 Emission Cost Savings'!P19</f>
        <v>239100.44214925083</v>
      </c>
    </row>
    <row r="103" spans="2:10" x14ac:dyDescent="0.25">
      <c r="B103" s="264">
        <v>2032</v>
      </c>
      <c r="C103" s="265">
        <f>'F3 Emission Cost Savings'!C20</f>
        <v>812865.70713592658</v>
      </c>
      <c r="D103" s="285">
        <f>'F3 Emission Cost Savings'!J20</f>
        <v>245647.01283542332</v>
      </c>
      <c r="E103" s="285">
        <f>'F3 Emission Cost Savings'!K20</f>
        <v>83209.142092742826</v>
      </c>
      <c r="F103" s="285">
        <f>'F3 Emission Cost Savings'!L20</f>
        <v>83209.142092742826</v>
      </c>
      <c r="G103" s="285">
        <f>'F3 Emission Cost Savings'!M20</f>
        <v>378470.8693339827</v>
      </c>
      <c r="H103" s="285">
        <f>'F3 Emission Cost Savings'!N20</f>
        <v>624117.88216940605</v>
      </c>
      <c r="I103" s="285">
        <f>'F3 Emission Cost Savings'!O20</f>
        <v>128201.17770157538</v>
      </c>
      <c r="J103" s="285">
        <f>'F3 Emission Cost Savings'!P20</f>
        <v>235850.53322683385</v>
      </c>
    </row>
    <row r="104" spans="2:10" x14ac:dyDescent="0.25">
      <c r="B104" s="264">
        <v>2033</v>
      </c>
      <c r="C104" s="265">
        <f>'F3 Emission Cost Savings'!C21</f>
        <v>825871.55845010153</v>
      </c>
      <c r="D104" s="285">
        <f>'F3 Emission Cost Savings'!J21</f>
        <v>253807.48987199002</v>
      </c>
      <c r="E104" s="285">
        <f>'F3 Emission Cost Savings'!K21</f>
        <v>80348.95140145105</v>
      </c>
      <c r="F104" s="285">
        <f>'F3 Emission Cost Savings'!L21</f>
        <v>80348.95140145105</v>
      </c>
      <c r="G104" s="285">
        <f>'F3 Emission Cost Savings'!M21</f>
        <v>384526.40324332658</v>
      </c>
      <c r="H104" s="285">
        <f>'F3 Emission Cost Savings'!N21</f>
        <v>638333.89311531663</v>
      </c>
      <c r="I104" s="285">
        <f>'F3 Emission Cost Savings'!O21</f>
        <v>121731.21172411274</v>
      </c>
      <c r="J104" s="285">
        <f>'F3 Emission Cost Savings'!P21</f>
        <v>232644.79782375076</v>
      </c>
    </row>
    <row r="105" spans="2:10" x14ac:dyDescent="0.25">
      <c r="B105" s="264">
        <v>2034</v>
      </c>
      <c r="C105" s="265">
        <f>'F3 Emission Cost Savings'!C22</f>
        <v>839085.50338530308</v>
      </c>
      <c r="D105" s="285">
        <f>'F3 Emission Cost Savings'!J22</f>
        <v>262166.21653844084</v>
      </c>
      <c r="E105" s="285">
        <f>'F3 Emission Cost Savings'!K22</f>
        <v>77565.523552279279</v>
      </c>
      <c r="F105" s="285">
        <f>'F3 Emission Cost Savings'!L22</f>
        <v>77565.523552279279</v>
      </c>
      <c r="G105" s="285">
        <f>'F3 Emission Cost Savings'!M22</f>
        <v>390678.82569521968</v>
      </c>
      <c r="H105" s="285">
        <f>'F3 Emission Cost Savings'!N22</f>
        <v>652845.04223366058</v>
      </c>
      <c r="I105" s="285">
        <f>'F3 Emission Cost Savings'!O22</f>
        <v>115587.76739411075</v>
      </c>
      <c r="J105" s="285">
        <f>'F3 Emission Cost Savings'!P22</f>
        <v>229482.63552323368</v>
      </c>
    </row>
    <row r="106" spans="2:10" x14ac:dyDescent="0.25">
      <c r="B106" s="264">
        <v>2035</v>
      </c>
      <c r="C106" s="265">
        <f>'F3 Emission Cost Savings'!C23</f>
        <v>852510.871439468</v>
      </c>
      <c r="D106" s="285">
        <f>'F3 Emission Cost Savings'!J23</f>
        <v>270727.44774081092</v>
      </c>
      <c r="E106" s="285">
        <f>'F3 Emission Cost Savings'!K23</f>
        <v>74858.395275090792</v>
      </c>
      <c r="F106" s="285">
        <f>'F3 Emission Cost Savings'!L23</f>
        <v>74858.395275090792</v>
      </c>
      <c r="G106" s="285">
        <f>'F3 Emission Cost Savings'!M23</f>
        <v>396929.68690634333</v>
      </c>
      <c r="H106" s="285">
        <f>'F3 Emission Cost Savings'!N23</f>
        <v>667657.13464715425</v>
      </c>
      <c r="I106" s="285">
        <f>'F3 Emission Cost Savings'!O23</f>
        <v>109754.36604898743</v>
      </c>
      <c r="J106" s="285">
        <f>'F3 Emission Cost Savings'!P23</f>
        <v>226363.45406951991</v>
      </c>
    </row>
    <row r="107" spans="2:10" x14ac:dyDescent="0.25">
      <c r="B107" s="264">
        <v>2036</v>
      </c>
      <c r="C107" s="265">
        <f>'F3 Emission Cost Savings'!C24</f>
        <v>866151.04538249946</v>
      </c>
      <c r="D107" s="285">
        <f>'F3 Emission Cost Savings'!J24</f>
        <v>279495.52379022306</v>
      </c>
      <c r="E107" s="285">
        <f>'F3 Emission Cost Savings'!K24</f>
        <v>72226.954548809357</v>
      </c>
      <c r="F107" s="285">
        <f>'F3 Emission Cost Savings'!L24</f>
        <v>72226.954548809357</v>
      </c>
      <c r="G107" s="285">
        <f>'F3 Emission Cost Savings'!M24</f>
        <v>403280.56189684471</v>
      </c>
      <c r="H107" s="285">
        <f>'F3 Emission Cost Savings'!N24</f>
        <v>682776.08568706783</v>
      </c>
      <c r="I107" s="285">
        <f>'F3 Emission Cost Savings'!O24</f>
        <v>104215.36065959926</v>
      </c>
      <c r="J107" s="285">
        <f>'F3 Emission Cost Savings'!P24</f>
        <v>223286.66925692445</v>
      </c>
    </row>
    <row r="108" spans="2:10" x14ac:dyDescent="0.25">
      <c r="B108" s="264">
        <v>2037</v>
      </c>
      <c r="C108" s="265">
        <f>'F3 Emission Cost Savings'!C25</f>
        <v>880009.46210861951</v>
      </c>
      <c r="D108" s="285">
        <f>'F3 Emission Cost Savings'!J25</f>
        <v>288474.87204659462</v>
      </c>
      <c r="E108" s="285">
        <f>'F3 Emission Cost Savings'!K25</f>
        <v>69670.456795457329</v>
      </c>
      <c r="F108" s="285">
        <f>'F3 Emission Cost Savings'!L25</f>
        <v>69670.456795457329</v>
      </c>
      <c r="G108" s="285">
        <f>'F3 Emission Cost Savings'!M25</f>
        <v>409733.05088719435</v>
      </c>
      <c r="H108" s="285">
        <f>'F3 Emission Cost Savings'!N25</f>
        <v>698207.92293378897</v>
      </c>
      <c r="I108" s="285">
        <f>'F3 Emission Cost Savings'!O25</f>
        <v>98955.893859955962</v>
      </c>
      <c r="J108" s="285">
        <f>'F3 Emission Cost Savings'!P25</f>
        <v>220251.70482042263</v>
      </c>
    </row>
    <row r="109" spans="2:10" x14ac:dyDescent="0.25">
      <c r="B109" s="264">
        <v>2038</v>
      </c>
      <c r="C109" s="265">
        <f>'F3 Emission Cost Savings'!C26</f>
        <v>894089.61350235739</v>
      </c>
      <c r="D109" s="285">
        <f>'F3 Emission Cost Savings'!J26</f>
        <v>302249.54718681949</v>
      </c>
      <c r="E109" s="285">
        <f>'F3 Emission Cost Savings'!K26</f>
        <v>68221.70196957048</v>
      </c>
      <c r="F109" s="285">
        <f>'F3 Emission Cost Savings'!L26</f>
        <v>68221.70196957048</v>
      </c>
      <c r="G109" s="285">
        <f>'F3 Emission Cost Savings'!M26</f>
        <v>416288.77970138937</v>
      </c>
      <c r="H109" s="285">
        <f>'F3 Emission Cost Savings'!N26</f>
        <v>718538.32688820886</v>
      </c>
      <c r="I109" s="285">
        <f>'F3 Emission Cost Savings'!O26</f>
        <v>93961.858095060976</v>
      </c>
      <c r="J109" s="285">
        <f>'F3 Emission Cost Savings'!P26</f>
        <v>217257.9923277178</v>
      </c>
    </row>
    <row r="110" spans="2:10" x14ac:dyDescent="0.25">
      <c r="B110" s="264">
        <v>2039</v>
      </c>
      <c r="C110" s="265">
        <f>'F3 Emission Cost Savings'!C27</f>
        <v>908395.04731839511</v>
      </c>
      <c r="D110" s="285">
        <f>'F3 Emission Cost Savings'!J27</f>
        <v>311738.35115304816</v>
      </c>
      <c r="E110" s="285">
        <f>'F3 Emission Cost Savings'!K27</f>
        <v>65760.233594910824</v>
      </c>
      <c r="F110" s="285">
        <f>'F3 Emission Cost Savings'!L27</f>
        <v>65760.233594910824</v>
      </c>
      <c r="G110" s="285">
        <f>'F3 Emission Cost Savings'!M27</f>
        <v>422949.40017661173</v>
      </c>
      <c r="H110" s="285">
        <f>'F3 Emission Cost Savings'!N27</f>
        <v>734687.75132965995</v>
      </c>
      <c r="I110" s="285">
        <f>'F3 Emission Cost Savings'!O27</f>
        <v>89219.857779983155</v>
      </c>
      <c r="J110" s="285">
        <f>'F3 Emission Cost Savings'!P27</f>
        <v>214304.97107277799</v>
      </c>
    </row>
    <row r="111" spans="2:10" x14ac:dyDescent="0.25">
      <c r="B111" s="264">
        <v>2040</v>
      </c>
      <c r="C111" s="265">
        <f>'F3 Emission Cost Savings'!C28</f>
        <v>922929.36807548942</v>
      </c>
      <c r="D111" s="285">
        <f>'F3 Emission Cost Savings'!J28</f>
        <v>321453.42096211633</v>
      </c>
      <c r="E111" s="285">
        <f>'F3 Emission Cost Savings'!K28</f>
        <v>63373.455413658798</v>
      </c>
      <c r="F111" s="285">
        <f>'F3 Emission Cost Savings'!L28</f>
        <v>63373.455413658798</v>
      </c>
      <c r="G111" s="285">
        <f>'F3 Emission Cost Savings'!M28</f>
        <v>429716.59057943738</v>
      </c>
      <c r="H111" s="285">
        <f>'F3 Emission Cost Savings'!N28</f>
        <v>751170.01154155377</v>
      </c>
      <c r="I111" s="285">
        <f>'F3 Emission Cost Savings'!O28</f>
        <v>84717.173368656862</v>
      </c>
      <c r="J111" s="285">
        <f>'F3 Emission Cost Savings'!P28</f>
        <v>211392.08797081787</v>
      </c>
    </row>
    <row r="112" spans="2:10" ht="14.4" thickBot="1" x14ac:dyDescent="0.3">
      <c r="B112" s="256" t="s">
        <v>32</v>
      </c>
      <c r="C112" s="286">
        <f>SUM(C87:C111)</f>
        <v>19196644.872793581</v>
      </c>
      <c r="D112" s="286">
        <f>SUM(D87:D111)</f>
        <v>5495340.4476306755</v>
      </c>
      <c r="E112" s="286">
        <f t="shared" ref="E112:F112" si="0">SUM(E87:E111)</f>
        <v>2432411.4343913901</v>
      </c>
      <c r="F112" s="286">
        <f t="shared" si="0"/>
        <v>2432411.4343913901</v>
      </c>
      <c r="G112" s="286">
        <f>SUM(G87:G111)</f>
        <v>8937971.9300755542</v>
      </c>
      <c r="H112" s="286">
        <f>SUM(H87:H111)</f>
        <v>14433312.37770623</v>
      </c>
      <c r="I112" s="286">
        <f>SUM(I87:I111)</f>
        <v>4223384.6734309085</v>
      </c>
      <c r="J112" s="286">
        <f>SUM(J87:J111)</f>
        <v>6258405.6373981172</v>
      </c>
    </row>
    <row r="113" spans="2:10" x14ac:dyDescent="0.25">
      <c r="B113" s="315" t="s">
        <v>223</v>
      </c>
      <c r="C113" s="315"/>
      <c r="D113" s="315"/>
      <c r="E113" s="315"/>
      <c r="F113" s="315"/>
      <c r="G113" s="315"/>
      <c r="H113" s="315"/>
      <c r="I113" s="315"/>
      <c r="J113" s="315"/>
    </row>
    <row r="115" spans="2:10" ht="14.4" thickBot="1" x14ac:dyDescent="0.35"/>
    <row r="116" spans="2:10" ht="18" thickBot="1" x14ac:dyDescent="0.35">
      <c r="B116" s="316" t="s">
        <v>204</v>
      </c>
      <c r="C116" s="317"/>
      <c r="D116" s="317"/>
      <c r="E116" s="317"/>
      <c r="F116" s="317"/>
      <c r="G116" s="317"/>
      <c r="H116" s="317"/>
      <c r="I116" s="318"/>
    </row>
    <row r="117" spans="2:10" ht="26.25" customHeight="1" x14ac:dyDescent="0.25">
      <c r="B117" s="303" t="s">
        <v>0</v>
      </c>
      <c r="C117" s="305" t="s">
        <v>44</v>
      </c>
      <c r="D117" s="306"/>
      <c r="E117" s="305" t="s">
        <v>45</v>
      </c>
      <c r="F117" s="306"/>
      <c r="G117" s="309" t="s">
        <v>93</v>
      </c>
      <c r="H117" s="311" t="s">
        <v>94</v>
      </c>
      <c r="I117" s="298" t="s">
        <v>100</v>
      </c>
    </row>
    <row r="118" spans="2:10" ht="21.75" customHeight="1" x14ac:dyDescent="0.25">
      <c r="B118" s="304"/>
      <c r="C118" s="291" t="s">
        <v>49</v>
      </c>
      <c r="D118" s="292" t="s">
        <v>46</v>
      </c>
      <c r="E118" s="291" t="s">
        <v>49</v>
      </c>
      <c r="F118" s="292" t="s">
        <v>46</v>
      </c>
      <c r="G118" s="310"/>
      <c r="H118" s="312"/>
      <c r="I118" s="299"/>
    </row>
    <row r="119" spans="2:10" ht="14.4" x14ac:dyDescent="0.3">
      <c r="B119" s="86">
        <v>2016</v>
      </c>
      <c r="C119" s="88" t="s">
        <v>47</v>
      </c>
      <c r="D119" s="287">
        <f>'F4 O&amp;M Benefits'!D4</f>
        <v>727012</v>
      </c>
      <c r="E119" s="88" t="s">
        <v>47</v>
      </c>
      <c r="F119" s="287">
        <f>'F4 O&amp;M Benefits'!F4</f>
        <v>727012</v>
      </c>
      <c r="G119" s="296">
        <f>'F4 O&amp;M Benefits'!G4</f>
        <v>0</v>
      </c>
      <c r="H119" s="89">
        <f>'F4 O&amp;M Benefits'!H4</f>
        <v>0</v>
      </c>
      <c r="I119" s="287">
        <f>'F4 O&amp;M Benefits'!I4</f>
        <v>0</v>
      </c>
    </row>
    <row r="120" spans="2:10" ht="14.4" x14ac:dyDescent="0.3">
      <c r="B120" s="86">
        <v>2017</v>
      </c>
      <c r="C120" s="88" t="s">
        <v>47</v>
      </c>
      <c r="D120" s="287">
        <f>'F4 O&amp;M Benefits'!D5</f>
        <v>727012</v>
      </c>
      <c r="E120" s="88" t="s">
        <v>47</v>
      </c>
      <c r="F120" s="287">
        <f>'F4 O&amp;M Benefits'!F5</f>
        <v>727012</v>
      </c>
      <c r="G120" s="296">
        <f>'F4 O&amp;M Benefits'!G5</f>
        <v>0</v>
      </c>
      <c r="H120" s="89">
        <f>'F4 O&amp;M Benefits'!H5</f>
        <v>0</v>
      </c>
      <c r="I120" s="287">
        <f>'F4 O&amp;M Benefits'!I5</f>
        <v>0</v>
      </c>
    </row>
    <row r="121" spans="2:10" ht="14.4" x14ac:dyDescent="0.3">
      <c r="B121" s="86">
        <v>2018</v>
      </c>
      <c r="C121" s="88" t="s">
        <v>47</v>
      </c>
      <c r="D121" s="287">
        <f>'F4 O&amp;M Benefits'!D6</f>
        <v>0</v>
      </c>
      <c r="E121" s="88" t="s">
        <v>47</v>
      </c>
      <c r="F121" s="287">
        <f>'F4 O&amp;M Benefits'!F6</f>
        <v>727012</v>
      </c>
      <c r="G121" s="296">
        <f>'F4 O&amp;M Benefits'!G6</f>
        <v>727012</v>
      </c>
      <c r="H121" s="89">
        <f>'F4 O&amp;M Benefits'!H6</f>
        <v>635000.43671936414</v>
      </c>
      <c r="I121" s="287">
        <f>'F4 O&amp;M Benefits'!I6</f>
        <v>685278.53709114902</v>
      </c>
    </row>
    <row r="122" spans="2:10" ht="14.4" x14ac:dyDescent="0.3">
      <c r="B122" s="86">
        <v>2019</v>
      </c>
      <c r="C122" s="88" t="s">
        <v>47</v>
      </c>
      <c r="D122" s="287">
        <f>'F4 O&amp;M Benefits'!D7</f>
        <v>0</v>
      </c>
      <c r="E122" s="88" t="s">
        <v>47</v>
      </c>
      <c r="F122" s="287">
        <f>'F4 O&amp;M Benefits'!F7</f>
        <v>727012</v>
      </c>
      <c r="G122" s="296">
        <f>'F4 O&amp;M Benefits'!G7</f>
        <v>727012</v>
      </c>
      <c r="H122" s="89">
        <f>'F4 O&amp;M Benefits'!H7</f>
        <v>593458.352074172</v>
      </c>
      <c r="I122" s="287">
        <f>'F4 O&amp;M Benefits'!I7</f>
        <v>665318.96804965928</v>
      </c>
    </row>
    <row r="123" spans="2:10" ht="14.4" x14ac:dyDescent="0.3">
      <c r="B123" s="86">
        <v>2020</v>
      </c>
      <c r="C123" s="88" t="s">
        <v>47</v>
      </c>
      <c r="D123" s="287">
        <f>'F4 O&amp;M Benefits'!D8</f>
        <v>0</v>
      </c>
      <c r="E123" s="88" t="s">
        <v>47</v>
      </c>
      <c r="F123" s="287">
        <f>'F4 O&amp;M Benefits'!F8</f>
        <v>727012</v>
      </c>
      <c r="G123" s="296">
        <f>'F4 O&amp;M Benefits'!G8</f>
        <v>727012</v>
      </c>
      <c r="H123" s="89">
        <f>'F4 O&amp;M Benefits'!H8</f>
        <v>554633.97390109545</v>
      </c>
      <c r="I123" s="287">
        <f>'F4 O&amp;M Benefits'!I8</f>
        <v>645940.74567928084</v>
      </c>
    </row>
    <row r="124" spans="2:10" ht="14.4" x14ac:dyDescent="0.3">
      <c r="B124" s="86">
        <v>2021</v>
      </c>
      <c r="C124" s="88" t="s">
        <v>47</v>
      </c>
      <c r="D124" s="287">
        <f>'F4 O&amp;M Benefits'!D9</f>
        <v>545259</v>
      </c>
      <c r="E124" s="88" t="s">
        <v>47</v>
      </c>
      <c r="F124" s="287">
        <f>'F4 O&amp;M Benefits'!F9</f>
        <v>727012</v>
      </c>
      <c r="G124" s="296">
        <f>'F4 O&amp;M Benefits'!G9</f>
        <v>181753</v>
      </c>
      <c r="H124" s="89">
        <f>'F4 O&amp;M Benefits'!H9</f>
        <v>129587.37707969517</v>
      </c>
      <c r="I124" s="287">
        <f>'F4 O&amp;M Benefits'!I9</f>
        <v>156781.73438817498</v>
      </c>
    </row>
    <row r="125" spans="2:10" ht="14.4" x14ac:dyDescent="0.3">
      <c r="B125" s="86">
        <v>2022</v>
      </c>
      <c r="C125" s="88" t="s">
        <v>47</v>
      </c>
      <c r="D125" s="287">
        <f>'F4 O&amp;M Benefits'!D10</f>
        <v>545259</v>
      </c>
      <c r="E125" s="88" t="s">
        <v>47</v>
      </c>
      <c r="F125" s="287">
        <f>'F4 O&amp;M Benefits'!F10</f>
        <v>727012</v>
      </c>
      <c r="G125" s="296">
        <f>'F4 O&amp;M Benefits'!G10</f>
        <v>181753</v>
      </c>
      <c r="H125" s="89">
        <f>'F4 O&amp;M Benefits'!H10</f>
        <v>121109.69820532261</v>
      </c>
      <c r="I125" s="287">
        <f>'F4 O&amp;M Benefits'!I10</f>
        <v>152215.27610502424</v>
      </c>
    </row>
    <row r="126" spans="2:10" ht="14.4" x14ac:dyDescent="0.3">
      <c r="B126" s="86">
        <v>2023</v>
      </c>
      <c r="C126" s="88" t="s">
        <v>47</v>
      </c>
      <c r="D126" s="287">
        <f>'F4 O&amp;M Benefits'!D11</f>
        <v>545259</v>
      </c>
      <c r="E126" s="88" t="s">
        <v>47</v>
      </c>
      <c r="F126" s="287">
        <f>'F4 O&amp;M Benefits'!F11</f>
        <v>727012</v>
      </c>
      <c r="G126" s="296">
        <f>'F4 O&amp;M Benefits'!G11</f>
        <v>181753</v>
      </c>
      <c r="H126" s="89">
        <f>'F4 O&amp;M Benefits'!H11</f>
        <v>113186.63383675009</v>
      </c>
      <c r="I126" s="287">
        <f>'F4 O&amp;M Benefits'!I11</f>
        <v>147781.82146118858</v>
      </c>
    </row>
    <row r="127" spans="2:10" ht="14.4" x14ac:dyDescent="0.3">
      <c r="B127" s="86">
        <v>2024</v>
      </c>
      <c r="C127" s="88" t="s">
        <v>47</v>
      </c>
      <c r="D127" s="287">
        <f>'F4 O&amp;M Benefits'!D12</f>
        <v>545259</v>
      </c>
      <c r="E127" s="88" t="s">
        <v>47</v>
      </c>
      <c r="F127" s="287">
        <f>'F4 O&amp;M Benefits'!F12</f>
        <v>727012</v>
      </c>
      <c r="G127" s="296">
        <f>'F4 O&amp;M Benefits'!G12</f>
        <v>181753</v>
      </c>
      <c r="H127" s="89">
        <f>'F4 O&amp;M Benefits'!H12</f>
        <v>105781.90078200943</v>
      </c>
      <c r="I127" s="287">
        <f>'F4 O&amp;M Benefits'!I12</f>
        <v>143477.49656426077</v>
      </c>
    </row>
    <row r="128" spans="2:10" ht="14.4" x14ac:dyDescent="0.3">
      <c r="B128" s="86">
        <v>2025</v>
      </c>
      <c r="C128" s="88" t="s">
        <v>47</v>
      </c>
      <c r="D128" s="287">
        <f>'F4 O&amp;M Benefits'!D13</f>
        <v>545259</v>
      </c>
      <c r="E128" s="88" t="s">
        <v>47</v>
      </c>
      <c r="F128" s="287">
        <f>'F4 O&amp;M Benefits'!F13</f>
        <v>727012</v>
      </c>
      <c r="G128" s="296">
        <f>'F4 O&amp;M Benefits'!G13</f>
        <v>181753</v>
      </c>
      <c r="H128" s="89">
        <f>'F4 O&amp;M Benefits'!H13</f>
        <v>98861.58951589666</v>
      </c>
      <c r="I128" s="287">
        <f>'F4 O&amp;M Benefits'!I13</f>
        <v>139298.54035365122</v>
      </c>
    </row>
    <row r="129" spans="2:9" ht="14.4" x14ac:dyDescent="0.3">
      <c r="B129" s="86">
        <v>2026</v>
      </c>
      <c r="C129" s="88" t="s">
        <v>47</v>
      </c>
      <c r="D129" s="287">
        <f>'F4 O&amp;M Benefits'!D14</f>
        <v>545259</v>
      </c>
      <c r="E129" s="88" t="s">
        <v>47</v>
      </c>
      <c r="F129" s="287">
        <f>'F4 O&amp;M Benefits'!F14</f>
        <v>727012</v>
      </c>
      <c r="G129" s="296">
        <f>'F4 O&amp;M Benefits'!G14</f>
        <v>181753</v>
      </c>
      <c r="H129" s="89">
        <f>'F4 O&amp;M Benefits'!H14</f>
        <v>92394.008893361359</v>
      </c>
      <c r="I129" s="287">
        <f>'F4 O&amp;M Benefits'!I14</f>
        <v>135241.30131422449</v>
      </c>
    </row>
    <row r="130" spans="2:9" ht="14.4" x14ac:dyDescent="0.3">
      <c r="B130" s="86">
        <v>2027</v>
      </c>
      <c r="C130" s="88" t="s">
        <v>47</v>
      </c>
      <c r="D130" s="287">
        <f>'F4 O&amp;M Benefits'!D15</f>
        <v>545259</v>
      </c>
      <c r="E130" s="88" t="s">
        <v>47</v>
      </c>
      <c r="F130" s="287">
        <f>'F4 O&amp;M Benefits'!F15</f>
        <v>727012</v>
      </c>
      <c r="G130" s="296">
        <f>'F4 O&amp;M Benefits'!G15</f>
        <v>181753</v>
      </c>
      <c r="H130" s="89">
        <f>'F4 O&amp;M Benefits'!H15</f>
        <v>86349.541021833036</v>
      </c>
      <c r="I130" s="287">
        <f>'F4 O&amp;M Benefits'!I15</f>
        <v>131302.23428565485</v>
      </c>
    </row>
    <row r="131" spans="2:9" ht="14.4" x14ac:dyDescent="0.3">
      <c r="B131" s="86">
        <v>2028</v>
      </c>
      <c r="C131" s="88" t="s">
        <v>47</v>
      </c>
      <c r="D131" s="287">
        <f>'F4 O&amp;M Benefits'!D16</f>
        <v>545259</v>
      </c>
      <c r="E131" s="88" t="s">
        <v>47</v>
      </c>
      <c r="F131" s="287">
        <f>'F4 O&amp;M Benefits'!F16</f>
        <v>727012</v>
      </c>
      <c r="G131" s="296">
        <f>'F4 O&amp;M Benefits'!G16</f>
        <v>181753</v>
      </c>
      <c r="H131" s="89">
        <f>'F4 O&amp;M Benefits'!H16</f>
        <v>80700.505627881357</v>
      </c>
      <c r="I131" s="287">
        <f>'F4 O&amp;M Benefits'!I16</f>
        <v>127477.89736471346</v>
      </c>
    </row>
    <row r="132" spans="2:9" ht="14.4" x14ac:dyDescent="0.3">
      <c r="B132" s="86">
        <v>2029</v>
      </c>
      <c r="C132" s="88" t="s">
        <v>47</v>
      </c>
      <c r="D132" s="287">
        <f>'F4 O&amp;M Benefits'!D17</f>
        <v>545259</v>
      </c>
      <c r="E132" s="88" t="s">
        <v>47</v>
      </c>
      <c r="F132" s="287">
        <f>'F4 O&amp;M Benefits'!F17</f>
        <v>727012</v>
      </c>
      <c r="G132" s="296">
        <f>'F4 O&amp;M Benefits'!G17</f>
        <v>181753</v>
      </c>
      <c r="H132" s="89">
        <f>'F4 O&amp;M Benefits'!H17</f>
        <v>75421.033297085378</v>
      </c>
      <c r="I132" s="287">
        <f>'F4 O&amp;M Benefits'!I17</f>
        <v>123764.94889778006</v>
      </c>
    </row>
    <row r="133" spans="2:9" ht="14.4" x14ac:dyDescent="0.3">
      <c r="B133" s="86">
        <v>2030</v>
      </c>
      <c r="C133" s="88" t="s">
        <v>47</v>
      </c>
      <c r="D133" s="287">
        <f>'F4 O&amp;M Benefits'!D18</f>
        <v>545259</v>
      </c>
      <c r="E133" s="88" t="s">
        <v>47</v>
      </c>
      <c r="F133" s="287">
        <f>'F4 O&amp;M Benefits'!F18</f>
        <v>727012</v>
      </c>
      <c r="G133" s="296">
        <f>'F4 O&amp;M Benefits'!G18</f>
        <v>181753</v>
      </c>
      <c r="H133" s="89">
        <f>'F4 O&amp;M Benefits'!H18</f>
        <v>70486.947006621849</v>
      </c>
      <c r="I133" s="287">
        <f>'F4 O&amp;M Benefits'!I18</f>
        <v>120160.14456095151</v>
      </c>
    </row>
    <row r="134" spans="2:9" ht="14.4" x14ac:dyDescent="0.3">
      <c r="B134" s="86">
        <v>2031</v>
      </c>
      <c r="C134" s="88" t="s">
        <v>47</v>
      </c>
      <c r="D134" s="287">
        <f>'F4 O&amp;M Benefits'!D19</f>
        <v>545259</v>
      </c>
      <c r="E134" s="88" t="s">
        <v>47</v>
      </c>
      <c r="F134" s="287">
        <f>'F4 O&amp;M Benefits'!F19</f>
        <v>727012</v>
      </c>
      <c r="G134" s="296">
        <f>'F4 O&amp;M Benefits'!G19</f>
        <v>181753</v>
      </c>
      <c r="H134" s="89">
        <f>'F4 O&amp;M Benefits'!H19</f>
        <v>65875.651408057791</v>
      </c>
      <c r="I134" s="287">
        <f>'F4 O&amp;M Benefits'!I19</f>
        <v>116660.33452519563</v>
      </c>
    </row>
    <row r="135" spans="2:9" ht="14.4" x14ac:dyDescent="0.3">
      <c r="B135" s="86">
        <v>2032</v>
      </c>
      <c r="C135" s="88" t="s">
        <v>47</v>
      </c>
      <c r="D135" s="287">
        <f>'F4 O&amp;M Benefits'!D20</f>
        <v>545259</v>
      </c>
      <c r="E135" s="88" t="s">
        <v>47</v>
      </c>
      <c r="F135" s="287">
        <f>'F4 O&amp;M Benefits'!F20</f>
        <v>727012</v>
      </c>
      <c r="G135" s="296">
        <f>'F4 O&amp;M Benefits'!G20</f>
        <v>181753</v>
      </c>
      <c r="H135" s="89">
        <f>'F4 O&amp;M Benefits'!H20</f>
        <v>61566.029353325051</v>
      </c>
      <c r="I135" s="287">
        <f>'F4 O&amp;M Benefits'!I20</f>
        <v>113262.46070407344</v>
      </c>
    </row>
    <row r="136" spans="2:9" ht="14.4" x14ac:dyDescent="0.3">
      <c r="B136" s="86">
        <v>2033</v>
      </c>
      <c r="C136" s="88" t="s">
        <v>47</v>
      </c>
      <c r="D136" s="287">
        <f>'F4 O&amp;M Benefits'!D21</f>
        <v>545259</v>
      </c>
      <c r="E136" s="88" t="s">
        <v>47</v>
      </c>
      <c r="F136" s="287">
        <f>'F4 O&amp;M Benefits'!F21</f>
        <v>727012</v>
      </c>
      <c r="G136" s="296">
        <f>'F4 O&amp;M Benefits'!G21</f>
        <v>181753</v>
      </c>
      <c r="H136" s="89">
        <f>'F4 O&amp;M Benefits'!H21</f>
        <v>57538.345190023414</v>
      </c>
      <c r="I136" s="287">
        <f>'F4 O&amp;M Benefits'!I21</f>
        <v>109963.55408162471</v>
      </c>
    </row>
    <row r="137" spans="2:9" ht="14.4" x14ac:dyDescent="0.3">
      <c r="B137" s="86">
        <v>2034</v>
      </c>
      <c r="C137" s="88" t="s">
        <v>47</v>
      </c>
      <c r="D137" s="287">
        <f>'F4 O&amp;M Benefits'!D22</f>
        <v>545259</v>
      </c>
      <c r="E137" s="88" t="s">
        <v>47</v>
      </c>
      <c r="F137" s="287">
        <f>'F4 O&amp;M Benefits'!F22</f>
        <v>727012</v>
      </c>
      <c r="G137" s="296">
        <f>'F4 O&amp;M Benefits'!G22</f>
        <v>181753</v>
      </c>
      <c r="H137" s="89">
        <f>'F4 O&amp;M Benefits'!H22</f>
        <v>53774.15438319945</v>
      </c>
      <c r="I137" s="287">
        <f>'F4 O&amp;M Benefits'!I22</f>
        <v>106760.73211808223</v>
      </c>
    </row>
    <row r="138" spans="2:9" ht="14.4" x14ac:dyDescent="0.3">
      <c r="B138" s="86">
        <v>2035</v>
      </c>
      <c r="C138" s="88" t="s">
        <v>47</v>
      </c>
      <c r="D138" s="287">
        <f>'F4 O&amp;M Benefits'!D23</f>
        <v>545259</v>
      </c>
      <c r="E138" s="88" t="s">
        <v>47</v>
      </c>
      <c r="F138" s="287">
        <f>'F4 O&amp;M Benefits'!F23</f>
        <v>727012</v>
      </c>
      <c r="G138" s="296">
        <f>'F4 O&amp;M Benefits'!G23</f>
        <v>181753</v>
      </c>
      <c r="H138" s="89">
        <f>'F4 O&amp;M Benefits'!H23</f>
        <v>50256.219049719111</v>
      </c>
      <c r="I138" s="287">
        <f>'F4 O&amp;M Benefits'!I23</f>
        <v>103651.1962311478</v>
      </c>
    </row>
    <row r="139" spans="2:9" ht="14.4" x14ac:dyDescent="0.3">
      <c r="B139" s="86">
        <v>2036</v>
      </c>
      <c r="C139" s="88" t="s">
        <v>47</v>
      </c>
      <c r="D139" s="287">
        <f>'F4 O&amp;M Benefits'!D24</f>
        <v>545259</v>
      </c>
      <c r="E139" s="88" t="s">
        <v>47</v>
      </c>
      <c r="F139" s="287">
        <f>'F4 O&amp;M Benefits'!F24</f>
        <v>727012</v>
      </c>
      <c r="G139" s="296">
        <f>'F4 O&amp;M Benefits'!G24</f>
        <v>181753</v>
      </c>
      <c r="H139" s="89">
        <f>'F4 O&amp;M Benefits'!H24</f>
        <v>46968.42901842908</v>
      </c>
      <c r="I139" s="287">
        <f>'F4 O&amp;M Benefits'!I24</f>
        <v>100632.22935062894</v>
      </c>
    </row>
    <row r="140" spans="2:9" ht="14.4" x14ac:dyDescent="0.3">
      <c r="B140" s="86">
        <v>2037</v>
      </c>
      <c r="C140" s="88" t="s">
        <v>47</v>
      </c>
      <c r="D140" s="287">
        <f>'F4 O&amp;M Benefits'!D25</f>
        <v>545259</v>
      </c>
      <c r="E140" s="88" t="s">
        <v>47</v>
      </c>
      <c r="F140" s="287">
        <f>'F4 O&amp;M Benefits'!F25</f>
        <v>727012</v>
      </c>
      <c r="G140" s="296">
        <f>'F4 O&amp;M Benefits'!G25</f>
        <v>181753</v>
      </c>
      <c r="H140" s="89">
        <f>'F4 O&amp;M Benefits'!H25</f>
        <v>43895.72805460661</v>
      </c>
      <c r="I140" s="287">
        <f>'F4 O&amp;M Benefits'!I25</f>
        <v>97701.193544299953</v>
      </c>
    </row>
    <row r="141" spans="2:9" ht="14.4" x14ac:dyDescent="0.3">
      <c r="B141" s="86">
        <v>2038</v>
      </c>
      <c r="C141" s="88" t="s">
        <v>47</v>
      </c>
      <c r="D141" s="287">
        <f>'F4 O&amp;M Benefits'!D26</f>
        <v>545259</v>
      </c>
      <c r="E141" s="88" t="s">
        <v>47</v>
      </c>
      <c r="F141" s="287">
        <f>'F4 O&amp;M Benefits'!F26</f>
        <v>727012</v>
      </c>
      <c r="G141" s="296">
        <f>'F4 O&amp;M Benefits'!G26</f>
        <v>181753</v>
      </c>
      <c r="H141" s="89">
        <f>'F4 O&amp;M Benefits'!H26</f>
        <v>41024.044910847304</v>
      </c>
      <c r="I141" s="287">
        <f>'F4 O&amp;M Benefits'!I26</f>
        <v>94855.527712912561</v>
      </c>
    </row>
    <row r="142" spans="2:9" ht="14.4" x14ac:dyDescent="0.3">
      <c r="B142" s="86">
        <v>2039</v>
      </c>
      <c r="C142" s="88" t="s">
        <v>47</v>
      </c>
      <c r="D142" s="287">
        <f>'F4 O&amp;M Benefits'!D27</f>
        <v>545259</v>
      </c>
      <c r="E142" s="88" t="s">
        <v>47</v>
      </c>
      <c r="F142" s="287">
        <f>'F4 O&amp;M Benefits'!F27</f>
        <v>727012</v>
      </c>
      <c r="G142" s="296">
        <f>'F4 O&amp;M Benefits'!G27</f>
        <v>181753</v>
      </c>
      <c r="H142" s="89">
        <f>'F4 O&amp;M Benefits'!H27</f>
        <v>38340.228888642334</v>
      </c>
      <c r="I142" s="287">
        <f>'F4 O&amp;M Benefits'!I27</f>
        <v>92092.745352342288</v>
      </c>
    </row>
    <row r="143" spans="2:9" ht="14.4" x14ac:dyDescent="0.3">
      <c r="B143" s="86">
        <v>2040</v>
      </c>
      <c r="C143" s="88" t="s">
        <v>47</v>
      </c>
      <c r="D143" s="287">
        <f>'F4 O&amp;M Benefits'!D28</f>
        <v>545259</v>
      </c>
      <c r="E143" s="88" t="s">
        <v>47</v>
      </c>
      <c r="F143" s="287">
        <f>'F4 O&amp;M Benefits'!F28</f>
        <v>727012</v>
      </c>
      <c r="G143" s="296">
        <f>'F4 O&amp;M Benefits'!G28</f>
        <v>181753</v>
      </c>
      <c r="H143" s="89">
        <f>'F4 O&amp;M Benefits'!H28</f>
        <v>35831.989615553583</v>
      </c>
      <c r="I143" s="287">
        <f>'F4 O&amp;M Benefits'!I28</f>
        <v>89410.432380914863</v>
      </c>
    </row>
    <row r="144" spans="2:9" ht="15" thickBot="1" x14ac:dyDescent="0.35">
      <c r="B144" s="290" t="s">
        <v>48</v>
      </c>
      <c r="C144" s="293"/>
      <c r="D144" s="289">
        <f>SUM(D119:D143)</f>
        <v>12359204</v>
      </c>
      <c r="E144" s="293"/>
      <c r="F144" s="289">
        <f>SUM(F119:F143)</f>
        <v>18175300</v>
      </c>
      <c r="G144" s="297">
        <f>SUM(G119:G143)</f>
        <v>5816096</v>
      </c>
      <c r="H144" s="288">
        <f>SUM(H119:H143)</f>
        <v>3252042.8178334925</v>
      </c>
      <c r="I144" s="289">
        <f>SUM(I119:I143)</f>
        <v>4399030.0521169351</v>
      </c>
    </row>
    <row r="146" spans="2:8" ht="14.4" thickBot="1" x14ac:dyDescent="0.35"/>
    <row r="147" spans="2:8" ht="18" thickBot="1" x14ac:dyDescent="0.35">
      <c r="B147" s="300" t="s">
        <v>205</v>
      </c>
      <c r="C147" s="301"/>
      <c r="D147" s="301"/>
      <c r="E147" s="301"/>
      <c r="F147" s="301"/>
      <c r="G147" s="301"/>
      <c r="H147" s="302"/>
    </row>
    <row r="148" spans="2:8" x14ac:dyDescent="0.25">
      <c r="B148" s="303" t="s">
        <v>0</v>
      </c>
      <c r="C148" s="305" t="s">
        <v>44</v>
      </c>
      <c r="D148" s="306"/>
      <c r="E148" s="305" t="s">
        <v>45</v>
      </c>
      <c r="F148" s="306"/>
      <c r="G148" s="307" t="s">
        <v>117</v>
      </c>
      <c r="H148" s="298" t="s">
        <v>117</v>
      </c>
    </row>
    <row r="149" spans="2:8" x14ac:dyDescent="0.25">
      <c r="B149" s="304"/>
      <c r="C149" s="291" t="s">
        <v>49</v>
      </c>
      <c r="D149" s="292" t="s">
        <v>46</v>
      </c>
      <c r="E149" s="291" t="s">
        <v>49</v>
      </c>
      <c r="F149" s="292" t="s">
        <v>46</v>
      </c>
      <c r="G149" s="308"/>
      <c r="H149" s="299"/>
    </row>
    <row r="150" spans="2:8" ht="14.4" x14ac:dyDescent="0.3">
      <c r="B150" s="86">
        <v>2016</v>
      </c>
      <c r="C150" s="88" t="s">
        <v>47</v>
      </c>
      <c r="D150" s="287">
        <f>'F5 Project Costs'!D5</f>
        <v>727012</v>
      </c>
      <c r="E150" s="88" t="s">
        <v>47</v>
      </c>
      <c r="F150" s="287">
        <f>'F5 Project Costs'!F5</f>
        <v>727012</v>
      </c>
      <c r="G150" s="294">
        <f>'F5 Project Costs'!G5</f>
        <v>727012</v>
      </c>
      <c r="H150" s="287">
        <f>'F5 Project Costs'!H5</f>
        <v>727012</v>
      </c>
    </row>
    <row r="151" spans="2:8" ht="14.4" x14ac:dyDescent="0.3">
      <c r="B151" s="86">
        <v>2017</v>
      </c>
      <c r="C151" s="88" t="s">
        <v>47</v>
      </c>
      <c r="D151" s="287">
        <f>'F5 Project Costs'!D6</f>
        <v>727012</v>
      </c>
      <c r="E151" s="88" t="s">
        <v>47</v>
      </c>
      <c r="F151" s="287">
        <f>'F5 Project Costs'!F6</f>
        <v>727012</v>
      </c>
      <c r="G151" s="294">
        <f>'F5 Project Costs'!G6</f>
        <v>679450.46728971961</v>
      </c>
      <c r="H151" s="287">
        <f>'F5 Project Costs'!H6</f>
        <v>705836.89320388343</v>
      </c>
    </row>
    <row r="152" spans="2:8" ht="14.4" x14ac:dyDescent="0.3">
      <c r="B152" s="86">
        <v>2018</v>
      </c>
      <c r="C152" s="88" t="s">
        <v>90</v>
      </c>
      <c r="D152" s="287">
        <f>'F5 Project Costs'!D7</f>
        <v>36237000</v>
      </c>
      <c r="E152" s="88" t="s">
        <v>47</v>
      </c>
      <c r="F152" s="287">
        <f>'F5 Project Costs'!F7</f>
        <v>727012</v>
      </c>
      <c r="G152" s="294">
        <f>'F5 Project Costs'!G7</f>
        <v>31650799.196436368</v>
      </c>
      <c r="H152" s="287">
        <f>'F5 Project Costs'!H7</f>
        <v>34156847.959279858</v>
      </c>
    </row>
    <row r="153" spans="2:8" ht="14.4" x14ac:dyDescent="0.3">
      <c r="B153" s="86">
        <v>2019</v>
      </c>
      <c r="C153" s="88" t="s">
        <v>90</v>
      </c>
      <c r="D153" s="287">
        <f>'F5 Project Costs'!D8</f>
        <v>36237000</v>
      </c>
      <c r="E153" s="88" t="s">
        <v>47</v>
      </c>
      <c r="F153" s="287">
        <f>'F5 Project Costs'!F8</f>
        <v>727012</v>
      </c>
      <c r="G153" s="294">
        <f>'F5 Project Costs'!G8</f>
        <v>29580186.164893802</v>
      </c>
      <c r="H153" s="287">
        <f>'F5 Project Costs'!H8</f>
        <v>33161988.309980445</v>
      </c>
    </row>
    <row r="154" spans="2:8" ht="14.4" x14ac:dyDescent="0.3">
      <c r="B154" s="86">
        <v>2020</v>
      </c>
      <c r="C154" s="88" t="s">
        <v>90</v>
      </c>
      <c r="D154" s="287">
        <f>'F5 Project Costs'!D9</f>
        <v>36237000</v>
      </c>
      <c r="E154" s="88" t="s">
        <v>47</v>
      </c>
      <c r="F154" s="287">
        <f>'F5 Project Costs'!F9</f>
        <v>727012</v>
      </c>
      <c r="G154" s="294">
        <f>'F5 Project Costs'!G9</f>
        <v>27645033.798966173</v>
      </c>
      <c r="H154" s="287">
        <f>'F5 Project Costs'!H9</f>
        <v>32196105.155320819</v>
      </c>
    </row>
    <row r="155" spans="2:8" ht="14.4" x14ac:dyDescent="0.3">
      <c r="B155" s="86">
        <v>2021</v>
      </c>
      <c r="C155" s="88" t="s">
        <v>47</v>
      </c>
      <c r="D155" s="287">
        <f>'F5 Project Costs'!D10</f>
        <v>545259</v>
      </c>
      <c r="E155" s="88" t="s">
        <v>47</v>
      </c>
      <c r="F155" s="287">
        <f>'F5 Project Costs'!F10</f>
        <v>727012</v>
      </c>
      <c r="G155" s="294">
        <f>'F5 Project Costs'!G10</f>
        <v>388762.13123908552</v>
      </c>
      <c r="H155" s="287">
        <f>'F5 Project Costs'!H10</f>
        <v>470345.20316452492</v>
      </c>
    </row>
    <row r="156" spans="2:8" ht="14.4" x14ac:dyDescent="0.3">
      <c r="B156" s="86">
        <v>2022</v>
      </c>
      <c r="C156" s="88" t="s">
        <v>47</v>
      </c>
      <c r="D156" s="287">
        <f>'F5 Project Costs'!D11</f>
        <v>545259</v>
      </c>
      <c r="E156" s="88" t="s">
        <v>47</v>
      </c>
      <c r="F156" s="287">
        <f>'F5 Project Costs'!F11</f>
        <v>727012</v>
      </c>
      <c r="G156" s="294">
        <f>'F5 Project Costs'!G11</f>
        <v>363329.09461596783</v>
      </c>
      <c r="H156" s="287">
        <f>'F5 Project Costs'!H11</f>
        <v>456645.82831507275</v>
      </c>
    </row>
    <row r="157" spans="2:8" ht="14.4" x14ac:dyDescent="0.3">
      <c r="B157" s="86">
        <v>2023</v>
      </c>
      <c r="C157" s="88" t="s">
        <v>47</v>
      </c>
      <c r="D157" s="287">
        <f>'F5 Project Costs'!D12</f>
        <v>545259</v>
      </c>
      <c r="E157" s="88" t="s">
        <v>47</v>
      </c>
      <c r="F157" s="287">
        <f>'F5 Project Costs'!F12</f>
        <v>727012</v>
      </c>
      <c r="G157" s="294">
        <f>'F5 Project Costs'!G12</f>
        <v>339559.90151025029</v>
      </c>
      <c r="H157" s="287">
        <f>'F5 Project Costs'!H12</f>
        <v>443345.4643835657</v>
      </c>
    </row>
    <row r="158" spans="2:8" ht="14.4" x14ac:dyDescent="0.3">
      <c r="B158" s="86">
        <v>2024</v>
      </c>
      <c r="C158" s="88" t="s">
        <v>47</v>
      </c>
      <c r="D158" s="287">
        <f>'F5 Project Costs'!D13</f>
        <v>545259</v>
      </c>
      <c r="E158" s="88" t="s">
        <v>47</v>
      </c>
      <c r="F158" s="287">
        <f>'F5 Project Costs'!F13</f>
        <v>727012</v>
      </c>
      <c r="G158" s="294">
        <f>'F5 Project Costs'!G13</f>
        <v>317345.70234602829</v>
      </c>
      <c r="H158" s="287">
        <f>'F5 Project Costs'!H13</f>
        <v>430432.48969278228</v>
      </c>
    </row>
    <row r="159" spans="2:8" ht="14.4" x14ac:dyDescent="0.3">
      <c r="B159" s="86">
        <v>2025</v>
      </c>
      <c r="C159" s="88" t="s">
        <v>47</v>
      </c>
      <c r="D159" s="287">
        <f>'F5 Project Costs'!D14</f>
        <v>545259</v>
      </c>
      <c r="E159" s="88" t="s">
        <v>47</v>
      </c>
      <c r="F159" s="287">
        <f>'F5 Project Costs'!F14</f>
        <v>727012</v>
      </c>
      <c r="G159" s="294">
        <f>'F5 Project Costs'!G14</f>
        <v>296584.76854768995</v>
      </c>
      <c r="H159" s="287">
        <f>'F5 Project Costs'!H14</f>
        <v>417895.62106095371</v>
      </c>
    </row>
    <row r="160" spans="2:8" ht="14.4" x14ac:dyDescent="0.3">
      <c r="B160" s="86">
        <v>2026</v>
      </c>
      <c r="C160" s="88" t="s">
        <v>47</v>
      </c>
      <c r="D160" s="287">
        <f>'F5 Project Costs'!D15</f>
        <v>545259</v>
      </c>
      <c r="E160" s="88" t="s">
        <v>47</v>
      </c>
      <c r="F160" s="287">
        <f>'F5 Project Costs'!F15</f>
        <v>727012</v>
      </c>
      <c r="G160" s="294">
        <f>'F5 Project Costs'!G15</f>
        <v>277182.02668008412</v>
      </c>
      <c r="H160" s="287">
        <f>'F5 Project Costs'!H15</f>
        <v>405723.90394267347</v>
      </c>
    </row>
    <row r="161" spans="2:8" ht="14.4" x14ac:dyDescent="0.3">
      <c r="B161" s="86">
        <v>2027</v>
      </c>
      <c r="C161" s="88" t="s">
        <v>47</v>
      </c>
      <c r="D161" s="287">
        <f>'F5 Project Costs'!D16</f>
        <v>545259</v>
      </c>
      <c r="E161" s="88" t="s">
        <v>47</v>
      </c>
      <c r="F161" s="287">
        <f>'F5 Project Costs'!F16</f>
        <v>727012</v>
      </c>
      <c r="G161" s="294">
        <f>'F5 Project Costs'!G16</f>
        <v>259048.62306549912</v>
      </c>
      <c r="H161" s="287">
        <f>'F5 Project Costs'!H16</f>
        <v>393906.70285696455</v>
      </c>
    </row>
    <row r="162" spans="2:8" ht="14.4" x14ac:dyDescent="0.3">
      <c r="B162" s="86">
        <v>2028</v>
      </c>
      <c r="C162" s="88" t="s">
        <v>47</v>
      </c>
      <c r="D162" s="287">
        <f>'F5 Project Costs'!D17</f>
        <v>545259</v>
      </c>
      <c r="E162" s="88" t="s">
        <v>47</v>
      </c>
      <c r="F162" s="287">
        <f>'F5 Project Costs'!F17</f>
        <v>727012</v>
      </c>
      <c r="G162" s="294">
        <f>'F5 Project Costs'!G17</f>
        <v>242101.51688364407</v>
      </c>
      <c r="H162" s="287">
        <f>'F5 Project Costs'!H17</f>
        <v>382433.6920941404</v>
      </c>
    </row>
    <row r="163" spans="2:8" ht="14.4" x14ac:dyDescent="0.3">
      <c r="B163" s="86">
        <v>2029</v>
      </c>
      <c r="C163" s="88" t="s">
        <v>47</v>
      </c>
      <c r="D163" s="287">
        <f>'F5 Project Costs'!D18</f>
        <v>545259</v>
      </c>
      <c r="E163" s="88" t="s">
        <v>47</v>
      </c>
      <c r="F163" s="287">
        <f>'F5 Project Costs'!F18</f>
        <v>727012</v>
      </c>
      <c r="G163" s="294">
        <f>'F5 Project Costs'!G18</f>
        <v>226263.09989125613</v>
      </c>
      <c r="H163" s="287">
        <f>'F5 Project Costs'!H18</f>
        <v>371294.84669334017</v>
      </c>
    </row>
    <row r="164" spans="2:8" ht="14.4" x14ac:dyDescent="0.3">
      <c r="B164" s="86">
        <v>2030</v>
      </c>
      <c r="C164" s="88" t="s">
        <v>47</v>
      </c>
      <c r="D164" s="287">
        <f>'F5 Project Costs'!D19</f>
        <v>545259</v>
      </c>
      <c r="E164" s="88" t="s">
        <v>47</v>
      </c>
      <c r="F164" s="287">
        <f>'F5 Project Costs'!F19</f>
        <v>727012</v>
      </c>
      <c r="G164" s="294">
        <f>'F5 Project Costs'!G19</f>
        <v>211460.84101986556</v>
      </c>
      <c r="H164" s="287">
        <f>'F5 Project Costs'!H19</f>
        <v>360480.43368285452</v>
      </c>
    </row>
    <row r="165" spans="2:8" ht="14.4" x14ac:dyDescent="0.3">
      <c r="B165" s="86">
        <v>2031</v>
      </c>
      <c r="C165" s="88" t="s">
        <v>47</v>
      </c>
      <c r="D165" s="287">
        <f>'F5 Project Costs'!D20</f>
        <v>545259</v>
      </c>
      <c r="E165" s="88" t="s">
        <v>47</v>
      </c>
      <c r="F165" s="287">
        <f>'F5 Project Costs'!F20</f>
        <v>727012</v>
      </c>
      <c r="G165" s="294">
        <f>'F5 Project Costs'!G20</f>
        <v>197626.95422417339</v>
      </c>
      <c r="H165" s="287">
        <f>'F5 Project Costs'!H20</f>
        <v>349981.00357558689</v>
      </c>
    </row>
    <row r="166" spans="2:8" ht="14.4" x14ac:dyDescent="0.3">
      <c r="B166" s="86">
        <v>2032</v>
      </c>
      <c r="C166" s="88" t="s">
        <v>47</v>
      </c>
      <c r="D166" s="287">
        <f>'F5 Project Costs'!D21</f>
        <v>545259</v>
      </c>
      <c r="E166" s="88" t="s">
        <v>47</v>
      </c>
      <c r="F166" s="287">
        <f>'F5 Project Costs'!F21</f>
        <v>727012</v>
      </c>
      <c r="G166" s="294">
        <f>'F5 Project Costs'!G21</f>
        <v>184698.08805997515</v>
      </c>
      <c r="H166" s="287">
        <f>'F5 Project Costs'!H21</f>
        <v>339787.38211222034</v>
      </c>
    </row>
    <row r="167" spans="2:8" ht="14.4" x14ac:dyDescent="0.3">
      <c r="B167" s="86">
        <v>2033</v>
      </c>
      <c r="C167" s="88" t="s">
        <v>47</v>
      </c>
      <c r="D167" s="287">
        <f>'F5 Project Costs'!D22</f>
        <v>545259</v>
      </c>
      <c r="E167" s="88" t="s">
        <v>47</v>
      </c>
      <c r="F167" s="287">
        <f>'F5 Project Costs'!F22</f>
        <v>727012</v>
      </c>
      <c r="G167" s="294">
        <f>'F5 Project Costs'!G22</f>
        <v>172615.03557007023</v>
      </c>
      <c r="H167" s="287">
        <f>'F5 Project Costs'!H22</f>
        <v>329890.66224487411</v>
      </c>
    </row>
    <row r="168" spans="2:8" ht="14.4" x14ac:dyDescent="0.3">
      <c r="B168" s="86">
        <v>2034</v>
      </c>
      <c r="C168" s="88" t="s">
        <v>47</v>
      </c>
      <c r="D168" s="287">
        <f>'F5 Project Costs'!D23</f>
        <v>545259</v>
      </c>
      <c r="E168" s="88" t="s">
        <v>47</v>
      </c>
      <c r="F168" s="287">
        <f>'F5 Project Costs'!F23</f>
        <v>727012</v>
      </c>
      <c r="G168" s="294">
        <f>'F5 Project Costs'!G23</f>
        <v>161322.46314959836</v>
      </c>
      <c r="H168" s="287">
        <f>'F5 Project Costs'!H23</f>
        <v>320282.1963542467</v>
      </c>
    </row>
    <row r="169" spans="2:8" ht="14.4" x14ac:dyDescent="0.3">
      <c r="B169" s="86">
        <v>2035</v>
      </c>
      <c r="C169" s="88" t="s">
        <v>47</v>
      </c>
      <c r="D169" s="287">
        <f>'F5 Project Costs'!D24</f>
        <v>545259</v>
      </c>
      <c r="E169" s="88" t="s">
        <v>47</v>
      </c>
      <c r="F169" s="287">
        <f>'F5 Project Costs'!F24</f>
        <v>727012</v>
      </c>
      <c r="G169" s="294">
        <f>'F5 Project Costs'!G24</f>
        <v>150768.65714915734</v>
      </c>
      <c r="H169" s="287">
        <f>'F5 Project Costs'!H24</f>
        <v>310953.58869344339</v>
      </c>
    </row>
    <row r="170" spans="2:8" ht="14.4" x14ac:dyDescent="0.3">
      <c r="B170" s="86">
        <v>2036</v>
      </c>
      <c r="C170" s="88" t="s">
        <v>47</v>
      </c>
      <c r="D170" s="287">
        <f>'F5 Project Costs'!D25</f>
        <v>545259</v>
      </c>
      <c r="E170" s="88" t="s">
        <v>47</v>
      </c>
      <c r="F170" s="287">
        <f>'F5 Project Costs'!F25</f>
        <v>727012</v>
      </c>
      <c r="G170" s="294">
        <f>'F5 Project Costs'!G25</f>
        <v>140905.28705528722</v>
      </c>
      <c r="H170" s="287">
        <f>'F5 Project Costs'!H25</f>
        <v>301896.6880518868</v>
      </c>
    </row>
    <row r="171" spans="2:8" ht="14.4" x14ac:dyDescent="0.3">
      <c r="B171" s="86">
        <v>2037</v>
      </c>
      <c r="C171" s="88" t="s">
        <v>47</v>
      </c>
      <c r="D171" s="287">
        <f>'F5 Project Costs'!D26</f>
        <v>545259</v>
      </c>
      <c r="E171" s="88" t="s">
        <v>47</v>
      </c>
      <c r="F171" s="287">
        <f>'F5 Project Costs'!F26</f>
        <v>727012</v>
      </c>
      <c r="G171" s="294">
        <f>'F5 Project Costs'!G26</f>
        <v>131687.18416381982</v>
      </c>
      <c r="H171" s="287">
        <f>'F5 Project Costs'!H26</f>
        <v>293103.58063289989</v>
      </c>
    </row>
    <row r="172" spans="2:8" ht="14.4" x14ac:dyDescent="0.3">
      <c r="B172" s="86">
        <v>2038</v>
      </c>
      <c r="C172" s="88" t="s">
        <v>47</v>
      </c>
      <c r="D172" s="287">
        <f>'F5 Project Costs'!D27</f>
        <v>545259</v>
      </c>
      <c r="E172" s="88" t="s">
        <v>47</v>
      </c>
      <c r="F172" s="287">
        <f>'F5 Project Costs'!F27</f>
        <v>727012</v>
      </c>
      <c r="G172" s="294">
        <f>'F5 Project Costs'!G27</f>
        <v>123072.1347325419</v>
      </c>
      <c r="H172" s="287">
        <f>'F5 Project Costs'!H27</f>
        <v>284566.58313873771</v>
      </c>
    </row>
    <row r="173" spans="2:8" ht="14.4" x14ac:dyDescent="0.3">
      <c r="B173" s="86">
        <v>2039</v>
      </c>
      <c r="C173" s="88" t="s">
        <v>47</v>
      </c>
      <c r="D173" s="287">
        <f>'F5 Project Costs'!D28</f>
        <v>545259</v>
      </c>
      <c r="E173" s="88" t="s">
        <v>47</v>
      </c>
      <c r="F173" s="287">
        <f>'F5 Project Costs'!F28</f>
        <v>727012</v>
      </c>
      <c r="G173" s="294">
        <f>'F5 Project Costs'!G28</f>
        <v>115020.68666592702</v>
      </c>
      <c r="H173" s="287">
        <f>'F5 Project Costs'!H28</f>
        <v>276278.23605702689</v>
      </c>
    </row>
    <row r="174" spans="2:8" ht="14.4" x14ac:dyDescent="0.3">
      <c r="B174" s="86">
        <v>2040</v>
      </c>
      <c r="C174" s="88" t="s">
        <v>47</v>
      </c>
      <c r="D174" s="287">
        <f>'F5 Project Costs'!D29</f>
        <v>545259</v>
      </c>
      <c r="E174" s="88" t="s">
        <v>47</v>
      </c>
      <c r="F174" s="287">
        <f>'F5 Project Costs'!F29</f>
        <v>727012</v>
      </c>
      <c r="G174" s="294">
        <f>'F5 Project Costs'!G29</f>
        <v>107495.96884666075</v>
      </c>
      <c r="H174" s="287">
        <f>'F5 Project Costs'!H29</f>
        <v>268231.29714274459</v>
      </c>
    </row>
    <row r="175" spans="2:8" ht="27" thickBot="1" x14ac:dyDescent="0.35">
      <c r="B175" s="290" t="s">
        <v>48</v>
      </c>
      <c r="C175" s="293" t="s">
        <v>53</v>
      </c>
      <c r="D175" s="289">
        <f>SUM(D150:D174)</f>
        <v>121070204</v>
      </c>
      <c r="E175" s="293" t="s">
        <v>47</v>
      </c>
      <c r="F175" s="289">
        <f>SUM(F150:F174)</f>
        <v>18175300</v>
      </c>
      <c r="G175" s="295">
        <f>SUM(G150:G174)</f>
        <v>94689331.793002635</v>
      </c>
      <c r="H175" s="289">
        <f>SUM(H150:H174)</f>
        <v>108155265.72167553</v>
      </c>
    </row>
    <row r="176" spans="2:8" x14ac:dyDescent="0.3">
      <c r="D176" s="517" t="s">
        <v>225</v>
      </c>
      <c r="G176" s="517" t="s">
        <v>225</v>
      </c>
      <c r="H176" s="517" t="s">
        <v>225</v>
      </c>
    </row>
  </sheetData>
  <mergeCells count="57">
    <mergeCell ref="B13:E13"/>
    <mergeCell ref="B14:C14"/>
    <mergeCell ref="B24:K24"/>
    <mergeCell ref="B22:C22"/>
    <mergeCell ref="B19:C19"/>
    <mergeCell ref="B15:C15"/>
    <mergeCell ref="B16:C16"/>
    <mergeCell ref="B18:C18"/>
    <mergeCell ref="B20:C20"/>
    <mergeCell ref="B21:C21"/>
    <mergeCell ref="B17:C17"/>
    <mergeCell ref="K9:K10"/>
    <mergeCell ref="H9:I10"/>
    <mergeCell ref="L3:L4"/>
    <mergeCell ref="L5:L6"/>
    <mergeCell ref="L7:L8"/>
    <mergeCell ref="L9:L10"/>
    <mergeCell ref="H7:I8"/>
    <mergeCell ref="J3:J4"/>
    <mergeCell ref="J5:J6"/>
    <mergeCell ref="J7:J8"/>
    <mergeCell ref="J9:J10"/>
    <mergeCell ref="B84:J84"/>
    <mergeCell ref="B54:J54"/>
    <mergeCell ref="A1:K1"/>
    <mergeCell ref="A3:B10"/>
    <mergeCell ref="C3:D10"/>
    <mergeCell ref="E3:F10"/>
    <mergeCell ref="G3:G10"/>
    <mergeCell ref="H3:I4"/>
    <mergeCell ref="H2:I2"/>
    <mergeCell ref="E2:F2"/>
    <mergeCell ref="C2:D2"/>
    <mergeCell ref="A2:B2"/>
    <mergeCell ref="H5:I6"/>
    <mergeCell ref="K3:K4"/>
    <mergeCell ref="K5:K6"/>
    <mergeCell ref="K7:K8"/>
    <mergeCell ref="B85:B86"/>
    <mergeCell ref="C85:C86"/>
    <mergeCell ref="B113:J113"/>
    <mergeCell ref="B116:I116"/>
    <mergeCell ref="D85:D86"/>
    <mergeCell ref="G85:G86"/>
    <mergeCell ref="H85:H86"/>
    <mergeCell ref="I117:I118"/>
    <mergeCell ref="B147:H147"/>
    <mergeCell ref="B148:B149"/>
    <mergeCell ref="C148:D148"/>
    <mergeCell ref="E148:F148"/>
    <mergeCell ref="G148:G149"/>
    <mergeCell ref="H148:H149"/>
    <mergeCell ref="B117:B118"/>
    <mergeCell ref="C117:D117"/>
    <mergeCell ref="E117:F117"/>
    <mergeCell ref="G117:G118"/>
    <mergeCell ref="H117:H1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32"/>
  <sheetViews>
    <sheetView tabSelected="1" topLeftCell="A4" workbookViewId="0">
      <selection activeCell="F10" sqref="F10"/>
    </sheetView>
  </sheetViews>
  <sheetFormatPr defaultRowHeight="14.4" x14ac:dyDescent="0.3"/>
  <cols>
    <col min="2" max="2" width="6.5546875" bestFit="1" customWidth="1"/>
    <col min="3" max="3" width="13.6640625" customWidth="1"/>
    <col min="4" max="4" width="12.109375" bestFit="1" customWidth="1"/>
    <col min="5" max="5" width="13" customWidth="1"/>
    <col min="6" max="6" width="11.109375" bestFit="1" customWidth="1"/>
    <col min="7" max="8" width="46.88671875" customWidth="1"/>
    <col min="10" max="10" width="12.33203125" customWidth="1"/>
    <col min="12" max="12" width="13.6640625" bestFit="1" customWidth="1"/>
  </cols>
  <sheetData>
    <row r="1" spans="2:12" ht="15.75" thickBot="1" x14ac:dyDescent="0.3"/>
    <row r="2" spans="2:12" ht="18.75" thickBot="1" x14ac:dyDescent="0.3">
      <c r="B2" s="497" t="s">
        <v>205</v>
      </c>
      <c r="C2" s="498"/>
      <c r="D2" s="498"/>
      <c r="E2" s="498"/>
      <c r="F2" s="498"/>
      <c r="G2" s="498"/>
      <c r="H2" s="499"/>
      <c r="J2" s="351" t="s">
        <v>51</v>
      </c>
      <c r="K2" s="351"/>
      <c r="L2" s="351"/>
    </row>
    <row r="3" spans="2:12" ht="15" customHeight="1" x14ac:dyDescent="0.3">
      <c r="B3" s="503" t="s">
        <v>0</v>
      </c>
      <c r="C3" s="505" t="s">
        <v>44</v>
      </c>
      <c r="D3" s="506"/>
      <c r="E3" s="507" t="s">
        <v>45</v>
      </c>
      <c r="F3" s="506"/>
      <c r="G3" s="509" t="s">
        <v>117</v>
      </c>
      <c r="H3" s="511" t="s">
        <v>117</v>
      </c>
      <c r="J3" s="351" t="s">
        <v>50</v>
      </c>
      <c r="K3" s="351"/>
      <c r="L3" s="59">
        <v>108711000</v>
      </c>
    </row>
    <row r="4" spans="2:12" ht="15" thickBot="1" x14ac:dyDescent="0.35">
      <c r="B4" s="504"/>
      <c r="C4" s="79" t="s">
        <v>49</v>
      </c>
      <c r="D4" s="80" t="s">
        <v>46</v>
      </c>
      <c r="E4" s="79" t="s">
        <v>49</v>
      </c>
      <c r="F4" s="80" t="s">
        <v>46</v>
      </c>
      <c r="G4" s="510"/>
      <c r="H4" s="496"/>
      <c r="J4" s="512" t="s">
        <v>52</v>
      </c>
      <c r="K4" s="513"/>
      <c r="L4" s="60">
        <f>L3/3</f>
        <v>36237000</v>
      </c>
    </row>
    <row r="5" spans="2:12" ht="15" x14ac:dyDescent="0.25">
      <c r="B5" s="81">
        <v>2016</v>
      </c>
      <c r="C5" s="82" t="s">
        <v>47</v>
      </c>
      <c r="D5" s="83">
        <f>16400*44.33</f>
        <v>727012</v>
      </c>
      <c r="E5" s="82" t="s">
        <v>47</v>
      </c>
      <c r="F5" s="83">
        <f>16400*44.33</f>
        <v>727012</v>
      </c>
      <c r="G5" s="84">
        <f>D5/(1+7%)^(B5-$B$5)</f>
        <v>727012</v>
      </c>
      <c r="H5" s="186">
        <f>D5/(1+3%)^(B5-$B$5)</f>
        <v>727012</v>
      </c>
    </row>
    <row r="6" spans="2:12" ht="15" x14ac:dyDescent="0.25">
      <c r="B6" s="86">
        <v>2017</v>
      </c>
      <c r="C6" s="82" t="s">
        <v>47</v>
      </c>
      <c r="D6" s="83">
        <f>16400*44.33</f>
        <v>727012</v>
      </c>
      <c r="E6" s="82" t="s">
        <v>47</v>
      </c>
      <c r="F6" s="83">
        <f t="shared" ref="F6:F29" si="0">16400*44.33</f>
        <v>727012</v>
      </c>
      <c r="G6" s="84">
        <f t="shared" ref="G6:G29" si="1">D6/(1+7%)^(B6-$B$5)</f>
        <v>679450.46728971961</v>
      </c>
      <c r="H6" s="187">
        <f t="shared" ref="H6:H29" si="2">D6/(1+3%)^(B6-$B$5)</f>
        <v>705836.89320388343</v>
      </c>
    </row>
    <row r="7" spans="2:12" ht="15" x14ac:dyDescent="0.25">
      <c r="B7" s="86">
        <v>2018</v>
      </c>
      <c r="C7" s="88" t="s">
        <v>90</v>
      </c>
      <c r="D7" s="89">
        <f>$L$4</f>
        <v>36237000</v>
      </c>
      <c r="E7" s="82" t="s">
        <v>47</v>
      </c>
      <c r="F7" s="83">
        <f t="shared" si="0"/>
        <v>727012</v>
      </c>
      <c r="G7" s="84">
        <f t="shared" si="1"/>
        <v>31650799.196436368</v>
      </c>
      <c r="H7" s="187">
        <f t="shared" si="2"/>
        <v>34156847.959279858</v>
      </c>
    </row>
    <row r="8" spans="2:12" ht="15" x14ac:dyDescent="0.25">
      <c r="B8" s="86">
        <v>2019</v>
      </c>
      <c r="C8" s="88" t="s">
        <v>90</v>
      </c>
      <c r="D8" s="89">
        <f>$L$4</f>
        <v>36237000</v>
      </c>
      <c r="E8" s="82" t="s">
        <v>47</v>
      </c>
      <c r="F8" s="83">
        <f t="shared" si="0"/>
        <v>727012</v>
      </c>
      <c r="G8" s="84">
        <f t="shared" si="1"/>
        <v>29580186.164893802</v>
      </c>
      <c r="H8" s="187">
        <f t="shared" si="2"/>
        <v>33161988.309980445</v>
      </c>
    </row>
    <row r="9" spans="2:12" ht="15" x14ac:dyDescent="0.25">
      <c r="B9" s="86">
        <v>2020</v>
      </c>
      <c r="C9" s="88" t="s">
        <v>90</v>
      </c>
      <c r="D9" s="89">
        <f>$L$4</f>
        <v>36237000</v>
      </c>
      <c r="E9" s="82" t="s">
        <v>47</v>
      </c>
      <c r="F9" s="83">
        <f t="shared" si="0"/>
        <v>727012</v>
      </c>
      <c r="G9" s="84">
        <f t="shared" si="1"/>
        <v>27645033.798966173</v>
      </c>
      <c r="H9" s="187">
        <f t="shared" si="2"/>
        <v>32196105.155320819</v>
      </c>
    </row>
    <row r="10" spans="2:12" ht="15" x14ac:dyDescent="0.25">
      <c r="B10" s="86">
        <v>2021</v>
      </c>
      <c r="C10" s="82" t="s">
        <v>47</v>
      </c>
      <c r="D10" s="83">
        <f>12300*44.33</f>
        <v>545259</v>
      </c>
      <c r="E10" s="82" t="s">
        <v>47</v>
      </c>
      <c r="F10" s="83">
        <f t="shared" si="0"/>
        <v>727012</v>
      </c>
      <c r="G10" s="84">
        <f t="shared" si="1"/>
        <v>388762.13123908552</v>
      </c>
      <c r="H10" s="187">
        <f t="shared" si="2"/>
        <v>470345.20316452492</v>
      </c>
    </row>
    <row r="11" spans="2:12" ht="15" x14ac:dyDescent="0.25">
      <c r="B11" s="86">
        <v>2022</v>
      </c>
      <c r="C11" s="82" t="s">
        <v>47</v>
      </c>
      <c r="D11" s="83">
        <f t="shared" ref="D11:D29" si="3">12300*44.33</f>
        <v>545259</v>
      </c>
      <c r="E11" s="82" t="s">
        <v>47</v>
      </c>
      <c r="F11" s="83">
        <f t="shared" si="0"/>
        <v>727012</v>
      </c>
      <c r="G11" s="84">
        <f t="shared" si="1"/>
        <v>363329.09461596783</v>
      </c>
      <c r="H11" s="187">
        <f t="shared" si="2"/>
        <v>456645.82831507275</v>
      </c>
    </row>
    <row r="12" spans="2:12" ht="15" x14ac:dyDescent="0.25">
      <c r="B12" s="86">
        <v>2023</v>
      </c>
      <c r="C12" s="82" t="s">
        <v>47</v>
      </c>
      <c r="D12" s="83">
        <f t="shared" si="3"/>
        <v>545259</v>
      </c>
      <c r="E12" s="82" t="s">
        <v>47</v>
      </c>
      <c r="F12" s="83">
        <f t="shared" si="0"/>
        <v>727012</v>
      </c>
      <c r="G12" s="84">
        <f t="shared" si="1"/>
        <v>339559.90151025029</v>
      </c>
      <c r="H12" s="187">
        <f t="shared" si="2"/>
        <v>443345.4643835657</v>
      </c>
    </row>
    <row r="13" spans="2:12" ht="15" x14ac:dyDescent="0.25">
      <c r="B13" s="86">
        <v>2024</v>
      </c>
      <c r="C13" s="82" t="s">
        <v>47</v>
      </c>
      <c r="D13" s="83">
        <f t="shared" si="3"/>
        <v>545259</v>
      </c>
      <c r="E13" s="82" t="s">
        <v>47</v>
      </c>
      <c r="F13" s="83">
        <f t="shared" si="0"/>
        <v>727012</v>
      </c>
      <c r="G13" s="84">
        <f t="shared" si="1"/>
        <v>317345.70234602829</v>
      </c>
      <c r="H13" s="187">
        <f t="shared" si="2"/>
        <v>430432.48969278228</v>
      </c>
    </row>
    <row r="14" spans="2:12" ht="15" x14ac:dyDescent="0.25">
      <c r="B14" s="86">
        <v>2025</v>
      </c>
      <c r="C14" s="82" t="s">
        <v>47</v>
      </c>
      <c r="D14" s="83">
        <f t="shared" si="3"/>
        <v>545259</v>
      </c>
      <c r="E14" s="82" t="s">
        <v>47</v>
      </c>
      <c r="F14" s="83">
        <f t="shared" si="0"/>
        <v>727012</v>
      </c>
      <c r="G14" s="84">
        <f t="shared" si="1"/>
        <v>296584.76854768995</v>
      </c>
      <c r="H14" s="187">
        <f t="shared" si="2"/>
        <v>417895.62106095371</v>
      </c>
    </row>
    <row r="15" spans="2:12" ht="15" x14ac:dyDescent="0.25">
      <c r="B15" s="86">
        <v>2026</v>
      </c>
      <c r="C15" s="82" t="s">
        <v>47</v>
      </c>
      <c r="D15" s="83">
        <f t="shared" si="3"/>
        <v>545259</v>
      </c>
      <c r="E15" s="82" t="s">
        <v>47</v>
      </c>
      <c r="F15" s="83">
        <f t="shared" si="0"/>
        <v>727012</v>
      </c>
      <c r="G15" s="84">
        <f t="shared" si="1"/>
        <v>277182.02668008412</v>
      </c>
      <c r="H15" s="187">
        <f t="shared" si="2"/>
        <v>405723.90394267347</v>
      </c>
    </row>
    <row r="16" spans="2:12" ht="15" x14ac:dyDescent="0.25">
      <c r="B16" s="86">
        <v>2027</v>
      </c>
      <c r="C16" s="82" t="s">
        <v>47</v>
      </c>
      <c r="D16" s="83">
        <f t="shared" si="3"/>
        <v>545259</v>
      </c>
      <c r="E16" s="82" t="s">
        <v>47</v>
      </c>
      <c r="F16" s="83">
        <f t="shared" si="0"/>
        <v>727012</v>
      </c>
      <c r="G16" s="84">
        <f t="shared" si="1"/>
        <v>259048.62306549912</v>
      </c>
      <c r="H16" s="187">
        <f t="shared" si="2"/>
        <v>393906.70285696455</v>
      </c>
    </row>
    <row r="17" spans="2:8" ht="15" x14ac:dyDescent="0.25">
      <c r="B17" s="86">
        <v>2028</v>
      </c>
      <c r="C17" s="82" t="s">
        <v>47</v>
      </c>
      <c r="D17" s="83">
        <f t="shared" si="3"/>
        <v>545259</v>
      </c>
      <c r="E17" s="82" t="s">
        <v>47</v>
      </c>
      <c r="F17" s="83">
        <f t="shared" si="0"/>
        <v>727012</v>
      </c>
      <c r="G17" s="84">
        <f t="shared" si="1"/>
        <v>242101.51688364407</v>
      </c>
      <c r="H17" s="187">
        <f t="shared" si="2"/>
        <v>382433.6920941404</v>
      </c>
    </row>
    <row r="18" spans="2:8" ht="15" x14ac:dyDescent="0.25">
      <c r="B18" s="86">
        <v>2029</v>
      </c>
      <c r="C18" s="82" t="s">
        <v>47</v>
      </c>
      <c r="D18" s="83">
        <f t="shared" si="3"/>
        <v>545259</v>
      </c>
      <c r="E18" s="82" t="s">
        <v>47</v>
      </c>
      <c r="F18" s="83">
        <f t="shared" si="0"/>
        <v>727012</v>
      </c>
      <c r="G18" s="84">
        <f t="shared" si="1"/>
        <v>226263.09989125613</v>
      </c>
      <c r="H18" s="187">
        <f t="shared" si="2"/>
        <v>371294.84669334017</v>
      </c>
    </row>
    <row r="19" spans="2:8" ht="15" x14ac:dyDescent="0.25">
      <c r="B19" s="86">
        <v>2030</v>
      </c>
      <c r="C19" s="82" t="s">
        <v>47</v>
      </c>
      <c r="D19" s="83">
        <f t="shared" si="3"/>
        <v>545259</v>
      </c>
      <c r="E19" s="82" t="s">
        <v>47</v>
      </c>
      <c r="F19" s="83">
        <f t="shared" si="0"/>
        <v>727012</v>
      </c>
      <c r="G19" s="84">
        <f t="shared" si="1"/>
        <v>211460.84101986556</v>
      </c>
      <c r="H19" s="187">
        <f t="shared" si="2"/>
        <v>360480.43368285452</v>
      </c>
    </row>
    <row r="20" spans="2:8" ht="15" x14ac:dyDescent="0.25">
      <c r="B20" s="86">
        <v>2031</v>
      </c>
      <c r="C20" s="82" t="s">
        <v>47</v>
      </c>
      <c r="D20" s="83">
        <f t="shared" si="3"/>
        <v>545259</v>
      </c>
      <c r="E20" s="82" t="s">
        <v>47</v>
      </c>
      <c r="F20" s="83">
        <f t="shared" si="0"/>
        <v>727012</v>
      </c>
      <c r="G20" s="84">
        <f t="shared" si="1"/>
        <v>197626.95422417339</v>
      </c>
      <c r="H20" s="187">
        <f t="shared" si="2"/>
        <v>349981.00357558689</v>
      </c>
    </row>
    <row r="21" spans="2:8" ht="15" x14ac:dyDescent="0.25">
      <c r="B21" s="86">
        <v>2032</v>
      </c>
      <c r="C21" s="82" t="s">
        <v>47</v>
      </c>
      <c r="D21" s="83">
        <f t="shared" si="3"/>
        <v>545259</v>
      </c>
      <c r="E21" s="82" t="s">
        <v>47</v>
      </c>
      <c r="F21" s="83">
        <f t="shared" si="0"/>
        <v>727012</v>
      </c>
      <c r="G21" s="84">
        <f t="shared" si="1"/>
        <v>184698.08805997515</v>
      </c>
      <c r="H21" s="187">
        <f t="shared" si="2"/>
        <v>339787.38211222034</v>
      </c>
    </row>
    <row r="22" spans="2:8" ht="15" x14ac:dyDescent="0.25">
      <c r="B22" s="86">
        <v>2033</v>
      </c>
      <c r="C22" s="82" t="s">
        <v>47</v>
      </c>
      <c r="D22" s="83">
        <f t="shared" si="3"/>
        <v>545259</v>
      </c>
      <c r="E22" s="82" t="s">
        <v>47</v>
      </c>
      <c r="F22" s="83">
        <f t="shared" si="0"/>
        <v>727012</v>
      </c>
      <c r="G22" s="84">
        <f t="shared" si="1"/>
        <v>172615.03557007023</v>
      </c>
      <c r="H22" s="187">
        <f t="shared" si="2"/>
        <v>329890.66224487411</v>
      </c>
    </row>
    <row r="23" spans="2:8" ht="15" x14ac:dyDescent="0.25">
      <c r="B23" s="86">
        <v>2034</v>
      </c>
      <c r="C23" s="82" t="s">
        <v>47</v>
      </c>
      <c r="D23" s="83">
        <f t="shared" si="3"/>
        <v>545259</v>
      </c>
      <c r="E23" s="82" t="s">
        <v>47</v>
      </c>
      <c r="F23" s="83">
        <f t="shared" si="0"/>
        <v>727012</v>
      </c>
      <c r="G23" s="84">
        <f t="shared" si="1"/>
        <v>161322.46314959836</v>
      </c>
      <c r="H23" s="187">
        <f t="shared" si="2"/>
        <v>320282.1963542467</v>
      </c>
    </row>
    <row r="24" spans="2:8" ht="15" x14ac:dyDescent="0.25">
      <c r="B24" s="86">
        <v>2035</v>
      </c>
      <c r="C24" s="82" t="s">
        <v>47</v>
      </c>
      <c r="D24" s="83">
        <f t="shared" si="3"/>
        <v>545259</v>
      </c>
      <c r="E24" s="82" t="s">
        <v>47</v>
      </c>
      <c r="F24" s="83">
        <f t="shared" si="0"/>
        <v>727012</v>
      </c>
      <c r="G24" s="84">
        <f t="shared" si="1"/>
        <v>150768.65714915734</v>
      </c>
      <c r="H24" s="187">
        <f t="shared" si="2"/>
        <v>310953.58869344339</v>
      </c>
    </row>
    <row r="25" spans="2:8" ht="15" x14ac:dyDescent="0.25">
      <c r="B25" s="86">
        <v>2036</v>
      </c>
      <c r="C25" s="82" t="s">
        <v>47</v>
      </c>
      <c r="D25" s="83">
        <f t="shared" si="3"/>
        <v>545259</v>
      </c>
      <c r="E25" s="82" t="s">
        <v>47</v>
      </c>
      <c r="F25" s="83">
        <f t="shared" si="0"/>
        <v>727012</v>
      </c>
      <c r="G25" s="84">
        <f t="shared" si="1"/>
        <v>140905.28705528722</v>
      </c>
      <c r="H25" s="187">
        <f t="shared" si="2"/>
        <v>301896.6880518868</v>
      </c>
    </row>
    <row r="26" spans="2:8" ht="15" x14ac:dyDescent="0.25">
      <c r="B26" s="86">
        <v>2037</v>
      </c>
      <c r="C26" s="82" t="s">
        <v>47</v>
      </c>
      <c r="D26" s="83">
        <f t="shared" si="3"/>
        <v>545259</v>
      </c>
      <c r="E26" s="82" t="s">
        <v>47</v>
      </c>
      <c r="F26" s="83">
        <f t="shared" si="0"/>
        <v>727012</v>
      </c>
      <c r="G26" s="84">
        <f t="shared" si="1"/>
        <v>131687.18416381982</v>
      </c>
      <c r="H26" s="187">
        <f t="shared" si="2"/>
        <v>293103.58063289989</v>
      </c>
    </row>
    <row r="27" spans="2:8" ht="15" x14ac:dyDescent="0.25">
      <c r="B27" s="86">
        <v>2038</v>
      </c>
      <c r="C27" s="82" t="s">
        <v>47</v>
      </c>
      <c r="D27" s="83">
        <f t="shared" si="3"/>
        <v>545259</v>
      </c>
      <c r="E27" s="82" t="s">
        <v>47</v>
      </c>
      <c r="F27" s="83">
        <f t="shared" si="0"/>
        <v>727012</v>
      </c>
      <c r="G27" s="84">
        <f t="shared" si="1"/>
        <v>123072.1347325419</v>
      </c>
      <c r="H27" s="187">
        <f t="shared" si="2"/>
        <v>284566.58313873771</v>
      </c>
    </row>
    <row r="28" spans="2:8" ht="15" x14ac:dyDescent="0.25">
      <c r="B28" s="86">
        <v>2039</v>
      </c>
      <c r="C28" s="82" t="s">
        <v>47</v>
      </c>
      <c r="D28" s="83">
        <f t="shared" si="3"/>
        <v>545259</v>
      </c>
      <c r="E28" s="82" t="s">
        <v>47</v>
      </c>
      <c r="F28" s="83">
        <f t="shared" si="0"/>
        <v>727012</v>
      </c>
      <c r="G28" s="84">
        <f t="shared" si="1"/>
        <v>115020.68666592702</v>
      </c>
      <c r="H28" s="187">
        <f t="shared" si="2"/>
        <v>276278.23605702689</v>
      </c>
    </row>
    <row r="29" spans="2:8" ht="15.75" thickBot="1" x14ac:dyDescent="0.3">
      <c r="B29" s="178">
        <v>2040</v>
      </c>
      <c r="C29" s="179" t="s">
        <v>47</v>
      </c>
      <c r="D29" s="180">
        <f t="shared" si="3"/>
        <v>545259</v>
      </c>
      <c r="E29" s="179" t="s">
        <v>47</v>
      </c>
      <c r="F29" s="180">
        <f t="shared" si="0"/>
        <v>727012</v>
      </c>
      <c r="G29" s="84">
        <f t="shared" si="1"/>
        <v>107495.96884666075</v>
      </c>
      <c r="H29" s="188">
        <f t="shared" si="2"/>
        <v>268231.29714274459</v>
      </c>
    </row>
    <row r="30" spans="2:8" ht="39" thickBot="1" x14ac:dyDescent="0.3">
      <c r="B30" s="181" t="s">
        <v>48</v>
      </c>
      <c r="C30" s="182" t="s">
        <v>53</v>
      </c>
      <c r="D30" s="183">
        <f>SUM(D5:D29)</f>
        <v>121070204</v>
      </c>
      <c r="E30" s="182" t="s">
        <v>47</v>
      </c>
      <c r="F30" s="183">
        <f>SUM(F5:F29)</f>
        <v>18175300</v>
      </c>
      <c r="G30" s="184">
        <f>SUM(G5:G29)</f>
        <v>94689331.793002635</v>
      </c>
      <c r="H30" s="185">
        <f>SUM(H5:H29)</f>
        <v>108155265.72167553</v>
      </c>
    </row>
    <row r="32" spans="2:8" ht="15" x14ac:dyDescent="0.25">
      <c r="C32" s="61"/>
    </row>
  </sheetData>
  <mergeCells count="9">
    <mergeCell ref="J2:L2"/>
    <mergeCell ref="B3:B4"/>
    <mergeCell ref="C3:D3"/>
    <mergeCell ref="E3:F3"/>
    <mergeCell ref="G3:G4"/>
    <mergeCell ref="H3:H4"/>
    <mergeCell ref="J3:K3"/>
    <mergeCell ref="J4:K4"/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5"/>
  <sheetViews>
    <sheetView workbookViewId="0">
      <selection activeCell="H4" sqref="H4"/>
    </sheetView>
  </sheetViews>
  <sheetFormatPr defaultRowHeight="14.4" x14ac:dyDescent="0.3"/>
  <cols>
    <col min="2" max="2" width="15.5546875" customWidth="1"/>
    <col min="3" max="3" width="16.6640625" customWidth="1"/>
    <col min="4" max="4" width="25.33203125" customWidth="1"/>
    <col min="5" max="5" width="26.6640625" customWidth="1"/>
    <col min="6" max="6" width="12.6640625" customWidth="1"/>
    <col min="7" max="7" width="10.88671875" customWidth="1"/>
    <col min="8" max="8" width="13.109375" bestFit="1" customWidth="1"/>
    <col min="9" max="9" width="16.33203125" customWidth="1"/>
    <col min="10" max="10" width="14.6640625" customWidth="1"/>
    <col min="11" max="11" width="20.44140625" customWidth="1"/>
    <col min="12" max="12" width="16.109375" customWidth="1"/>
    <col min="13" max="13" width="19.6640625" customWidth="1"/>
  </cols>
  <sheetData>
    <row r="1" spans="2:18" ht="15.75" thickBot="1" x14ac:dyDescent="0.3"/>
    <row r="2" spans="2:18" ht="18.75" thickBot="1" x14ac:dyDescent="0.3">
      <c r="B2" s="356" t="s">
        <v>13</v>
      </c>
      <c r="C2" s="357"/>
      <c r="D2" s="357"/>
      <c r="E2" s="357"/>
      <c r="F2" s="357"/>
      <c r="G2" s="357"/>
      <c r="H2" s="358"/>
    </row>
    <row r="3" spans="2:18" ht="27" thickBot="1" x14ac:dyDescent="0.3">
      <c r="B3" s="51"/>
      <c r="C3" s="52" t="s">
        <v>2</v>
      </c>
      <c r="D3" s="4" t="s">
        <v>3</v>
      </c>
      <c r="E3" s="4" t="s">
        <v>14</v>
      </c>
      <c r="F3" s="117" t="s">
        <v>4</v>
      </c>
      <c r="G3" s="4" t="s">
        <v>5</v>
      </c>
      <c r="H3" s="4" t="s">
        <v>6</v>
      </c>
    </row>
    <row r="4" spans="2:18" x14ac:dyDescent="0.3">
      <c r="B4" s="359">
        <v>2020</v>
      </c>
      <c r="C4" s="361">
        <f>14000*(1+1.6%)^5</f>
        <v>15156.418042200065</v>
      </c>
      <c r="D4" s="46">
        <v>70</v>
      </c>
      <c r="E4" s="46">
        <v>44.33</v>
      </c>
      <c r="F4" s="47">
        <f>E4/D4</f>
        <v>0.63328571428571423</v>
      </c>
      <c r="G4" s="48">
        <f>C4*F4</f>
        <v>9598.3430258675544</v>
      </c>
      <c r="H4" s="7">
        <f>C4*E4</f>
        <v>671884.01181072881</v>
      </c>
    </row>
    <row r="5" spans="2:18" x14ac:dyDescent="0.3">
      <c r="B5" s="359"/>
      <c r="C5" s="362"/>
      <c r="D5" s="8">
        <v>69.599999999999994</v>
      </c>
      <c r="E5" s="49">
        <v>44.33</v>
      </c>
      <c r="F5" s="5">
        <f>E5/D5</f>
        <v>0.63692528735632181</v>
      </c>
      <c r="G5" s="6">
        <f>C4*F5</f>
        <v>9653.5059168208172</v>
      </c>
      <c r="H5" s="50">
        <f>C4*E5</f>
        <v>671884.01181072881</v>
      </c>
    </row>
    <row r="6" spans="2:18" x14ac:dyDescent="0.3">
      <c r="B6" s="359">
        <v>2040</v>
      </c>
      <c r="C6" s="363">
        <f>14000*(1+1.6%)^20</f>
        <v>19231.014469647376</v>
      </c>
      <c r="D6" s="8">
        <v>70</v>
      </c>
      <c r="E6" s="8">
        <v>44.33</v>
      </c>
      <c r="F6" s="9">
        <f>E6/D6</f>
        <v>0.63328571428571423</v>
      </c>
      <c r="G6" s="10">
        <f>C6*F6</f>
        <v>12178.726734849544</v>
      </c>
      <c r="H6" s="11">
        <f>C6*E6</f>
        <v>852510.87143946812</v>
      </c>
    </row>
    <row r="7" spans="2:18" ht="15" thickBot="1" x14ac:dyDescent="0.35">
      <c r="B7" s="360"/>
      <c r="C7" s="364"/>
      <c r="D7" s="8">
        <v>69.599999999999994</v>
      </c>
      <c r="E7" s="12">
        <v>44.33</v>
      </c>
      <c r="F7" s="13">
        <f>E7/D7</f>
        <v>0.63692528735632181</v>
      </c>
      <c r="G7" s="14">
        <f>C6*F7</f>
        <v>12248.719417233739</v>
      </c>
      <c r="H7" s="15">
        <f>C6*E7</f>
        <v>852510.87143946812</v>
      </c>
    </row>
    <row r="8" spans="2:18" ht="15" x14ac:dyDescent="0.25">
      <c r="B8" s="16" t="s">
        <v>7</v>
      </c>
      <c r="C8" s="18" t="s">
        <v>8</v>
      </c>
      <c r="D8" s="18"/>
      <c r="E8" s="18"/>
      <c r="F8" s="18"/>
      <c r="G8" s="18"/>
      <c r="H8" s="18"/>
    </row>
    <row r="9" spans="2:18" ht="15" x14ac:dyDescent="0.25">
      <c r="B9" s="16" t="s">
        <v>9</v>
      </c>
      <c r="C9" s="17" t="s">
        <v>10</v>
      </c>
      <c r="D9" s="17"/>
      <c r="E9" s="17"/>
      <c r="F9" s="17"/>
      <c r="H9" s="17"/>
    </row>
    <row r="10" spans="2:18" ht="15" x14ac:dyDescent="0.25">
      <c r="B10" s="16" t="s">
        <v>11</v>
      </c>
      <c r="C10" s="17" t="s">
        <v>12</v>
      </c>
      <c r="D10" s="17"/>
      <c r="E10" s="17"/>
      <c r="F10" s="17"/>
      <c r="G10" s="17"/>
      <c r="H10" s="17"/>
    </row>
    <row r="11" spans="2:18" ht="15" x14ac:dyDescent="0.25">
      <c r="B11" s="16" t="s">
        <v>38</v>
      </c>
      <c r="C11" s="17" t="s">
        <v>39</v>
      </c>
      <c r="D11" s="17"/>
      <c r="E11" s="17"/>
      <c r="F11" s="17"/>
      <c r="G11" s="17"/>
      <c r="H11" s="17"/>
    </row>
    <row r="12" spans="2:18" ht="15.75" thickBot="1" x14ac:dyDescent="0.3">
      <c r="B12" s="16" t="s">
        <v>40</v>
      </c>
      <c r="C12" s="17" t="s">
        <v>72</v>
      </c>
      <c r="D12" s="17"/>
      <c r="E12" s="17"/>
      <c r="G12" s="116">
        <f>(G5-G4)/G4</f>
        <v>5.7471264367817158E-3</v>
      </c>
      <c r="H12" s="17"/>
    </row>
    <row r="13" spans="2:18" ht="18.75" thickBot="1" x14ac:dyDescent="0.3">
      <c r="G13" s="17"/>
      <c r="H13" s="356" t="s">
        <v>120</v>
      </c>
      <c r="I13" s="357"/>
      <c r="J13" s="357"/>
      <c r="K13" s="357"/>
      <c r="L13" s="357"/>
      <c r="M13" s="358"/>
    </row>
    <row r="14" spans="2:18" ht="18.75" thickBot="1" x14ac:dyDescent="0.3">
      <c r="B14" s="356" t="s">
        <v>15</v>
      </c>
      <c r="C14" s="357"/>
      <c r="D14" s="357"/>
      <c r="E14" s="358"/>
      <c r="H14" s="370" t="s">
        <v>21</v>
      </c>
      <c r="I14" s="371"/>
      <c r="J14" s="371"/>
      <c r="K14" s="371"/>
      <c r="L14" s="371"/>
      <c r="M14" s="372"/>
    </row>
    <row r="15" spans="2:18" ht="31.5" customHeight="1" thickBot="1" x14ac:dyDescent="0.35">
      <c r="B15" s="366" t="s">
        <v>0</v>
      </c>
      <c r="C15" s="365" t="s">
        <v>2</v>
      </c>
      <c r="D15" s="368" t="s">
        <v>19</v>
      </c>
      <c r="E15" s="369"/>
      <c r="H15" s="373" t="s">
        <v>22</v>
      </c>
      <c r="I15" s="374"/>
      <c r="J15" s="375"/>
      <c r="K15" s="373" t="s">
        <v>23</v>
      </c>
      <c r="L15" s="374"/>
      <c r="M15" s="375"/>
    </row>
    <row r="16" spans="2:18" ht="16.2" x14ac:dyDescent="0.3">
      <c r="B16" s="366"/>
      <c r="C16" s="366"/>
      <c r="D16" s="22" t="s">
        <v>16</v>
      </c>
      <c r="E16" s="23" t="s">
        <v>17</v>
      </c>
      <c r="H16" s="27" t="s">
        <v>24</v>
      </c>
      <c r="I16" s="28">
        <v>20.399999999999999</v>
      </c>
      <c r="J16" s="29" t="s">
        <v>25</v>
      </c>
      <c r="K16" s="30" t="s">
        <v>24</v>
      </c>
      <c r="L16" s="28">
        <v>27.2</v>
      </c>
      <c r="M16" s="31" t="s">
        <v>25</v>
      </c>
      <c r="N16" s="378" t="s">
        <v>206</v>
      </c>
      <c r="O16" s="379"/>
      <c r="P16" s="379"/>
      <c r="Q16" s="379"/>
      <c r="R16" s="380"/>
    </row>
    <row r="17" spans="2:18" ht="15" thickBot="1" x14ac:dyDescent="0.35">
      <c r="B17" s="367"/>
      <c r="C17" s="367"/>
      <c r="D17" s="19" t="s">
        <v>18</v>
      </c>
      <c r="E17" s="3" t="s">
        <v>18</v>
      </c>
      <c r="H17" s="27" t="s">
        <v>26</v>
      </c>
      <c r="I17" s="8">
        <v>1.1000000000000001</v>
      </c>
      <c r="J17" s="32"/>
      <c r="K17" s="30" t="s">
        <v>26</v>
      </c>
      <c r="L17" s="8">
        <v>1.05</v>
      </c>
      <c r="M17" s="33"/>
      <c r="N17" s="381"/>
      <c r="O17" s="382"/>
      <c r="P17" s="382"/>
      <c r="Q17" s="382"/>
      <c r="R17" s="383"/>
    </row>
    <row r="18" spans="2:18" ht="16.2" x14ac:dyDescent="0.3">
      <c r="B18" s="20">
        <v>2015</v>
      </c>
      <c r="C18" s="21">
        <f>14000</f>
        <v>14000</v>
      </c>
      <c r="D18" s="21">
        <f>C18*$E$4</f>
        <v>620620</v>
      </c>
      <c r="E18" s="24">
        <f>C18*$F$4</f>
        <v>8866</v>
      </c>
      <c r="H18" s="34"/>
      <c r="I18" s="35"/>
      <c r="J18" s="33"/>
      <c r="K18" s="27" t="s">
        <v>27</v>
      </c>
      <c r="L18" s="36">
        <f>0.03/8760 * 300000</f>
        <v>1.0273972602739725</v>
      </c>
      <c r="M18" s="33"/>
      <c r="N18" s="381"/>
      <c r="O18" s="382"/>
      <c r="P18" s="382"/>
      <c r="Q18" s="382"/>
      <c r="R18" s="383"/>
    </row>
    <row r="19" spans="2:18" ht="15" thickBot="1" x14ac:dyDescent="0.35">
      <c r="B19" s="1">
        <v>2016</v>
      </c>
      <c r="C19" s="21">
        <f>C18*(1+1.6%)</f>
        <v>14224</v>
      </c>
      <c r="D19" s="21">
        <f t="shared" ref="D19:D43" si="0">C19*$E$4</f>
        <v>630549.91999999993</v>
      </c>
      <c r="E19" s="24">
        <f t="shared" ref="E19:E43" si="1">C19*$F$4</f>
        <v>9007.8559999999998</v>
      </c>
      <c r="H19" s="37" t="s">
        <v>28</v>
      </c>
      <c r="I19" s="38">
        <f>I16*I17</f>
        <v>22.44</v>
      </c>
      <c r="J19" s="39" t="s">
        <v>29</v>
      </c>
      <c r="K19" s="37" t="s">
        <v>28</v>
      </c>
      <c r="L19" s="40">
        <f>L16*L17+L18</f>
        <v>29.587397260273971</v>
      </c>
      <c r="M19" s="39" t="s">
        <v>29</v>
      </c>
      <c r="N19" s="384"/>
      <c r="O19" s="385"/>
      <c r="P19" s="385"/>
      <c r="Q19" s="385"/>
      <c r="R19" s="386"/>
    </row>
    <row r="20" spans="2:18" ht="15" x14ac:dyDescent="0.25">
      <c r="B20" s="2">
        <v>2017</v>
      </c>
      <c r="C20" s="21">
        <f t="shared" ref="C20:C43" si="2">C19*(1+1.6%)</f>
        <v>14451.584000000001</v>
      </c>
      <c r="D20" s="21">
        <f t="shared" si="0"/>
        <v>640638.71872</v>
      </c>
      <c r="E20" s="24">
        <f t="shared" si="1"/>
        <v>9151.9816959999989</v>
      </c>
    </row>
    <row r="21" spans="2:18" ht="15.75" thickBot="1" x14ac:dyDescent="0.3">
      <c r="B21" s="2">
        <v>2018</v>
      </c>
      <c r="C21" s="21">
        <f t="shared" si="2"/>
        <v>14682.809344000001</v>
      </c>
      <c r="D21" s="21">
        <f t="shared" si="0"/>
        <v>650888.93821952003</v>
      </c>
      <c r="E21" s="24">
        <f t="shared" si="1"/>
        <v>9298.413403135999</v>
      </c>
    </row>
    <row r="22" spans="2:18" ht="18.75" thickBot="1" x14ac:dyDescent="0.3">
      <c r="B22" s="2">
        <v>2019</v>
      </c>
      <c r="C22" s="21">
        <f t="shared" si="2"/>
        <v>14917.734293504001</v>
      </c>
      <c r="D22" s="21">
        <f t="shared" si="0"/>
        <v>661303.16123103234</v>
      </c>
      <c r="E22" s="24">
        <f t="shared" si="1"/>
        <v>9447.1880175861752</v>
      </c>
      <c r="H22" s="356" t="s">
        <v>148</v>
      </c>
      <c r="I22" s="357"/>
      <c r="J22" s="357"/>
      <c r="K22" s="357"/>
      <c r="L22" s="357"/>
      <c r="M22" s="358"/>
    </row>
    <row r="23" spans="2:18" ht="15.75" thickBot="1" x14ac:dyDescent="0.3">
      <c r="B23" s="2">
        <v>2020</v>
      </c>
      <c r="C23" s="21">
        <f t="shared" si="2"/>
        <v>15156.418042200066</v>
      </c>
      <c r="D23" s="21">
        <f t="shared" si="0"/>
        <v>671884.01181072893</v>
      </c>
      <c r="E23" s="24">
        <f t="shared" si="1"/>
        <v>9598.3430258675562</v>
      </c>
      <c r="H23" s="387" t="s">
        <v>147</v>
      </c>
      <c r="I23" s="388"/>
      <c r="J23" s="388"/>
      <c r="K23" s="388"/>
      <c r="L23" s="388"/>
      <c r="M23" s="389"/>
    </row>
    <row r="24" spans="2:18" ht="15.75" thickBot="1" x14ac:dyDescent="0.3">
      <c r="B24" s="2">
        <v>2021</v>
      </c>
      <c r="C24" s="21">
        <f t="shared" si="2"/>
        <v>15398.920730875268</v>
      </c>
      <c r="D24" s="21">
        <f t="shared" si="0"/>
        <v>682634.15599970066</v>
      </c>
      <c r="E24" s="24">
        <f t="shared" si="1"/>
        <v>9751.9165142814363</v>
      </c>
      <c r="H24" s="390" t="s">
        <v>121</v>
      </c>
      <c r="I24" s="391"/>
      <c r="J24" s="391"/>
      <c r="K24" s="391"/>
      <c r="L24" s="391"/>
      <c r="M24" s="392"/>
    </row>
    <row r="25" spans="2:18" ht="15.75" thickBot="1" x14ac:dyDescent="0.3">
      <c r="B25" s="2">
        <v>2022</v>
      </c>
      <c r="C25" s="21">
        <f t="shared" si="2"/>
        <v>15645.303462569273</v>
      </c>
      <c r="D25" s="21">
        <f t="shared" si="0"/>
        <v>693556.30249569588</v>
      </c>
      <c r="E25" s="24">
        <f t="shared" si="1"/>
        <v>9907.9471785099395</v>
      </c>
      <c r="H25" s="393" t="s">
        <v>122</v>
      </c>
      <c r="I25" s="394"/>
      <c r="J25" s="394"/>
      <c r="K25" s="394"/>
      <c r="L25" s="394"/>
      <c r="M25" s="392"/>
    </row>
    <row r="26" spans="2:18" x14ac:dyDescent="0.3">
      <c r="B26" s="2">
        <v>2023</v>
      </c>
      <c r="C26" s="21">
        <f t="shared" si="2"/>
        <v>15895.628317970381</v>
      </c>
      <c r="D26" s="21">
        <f t="shared" si="0"/>
        <v>704653.20333562698</v>
      </c>
      <c r="E26" s="24">
        <f t="shared" si="1"/>
        <v>10066.474333366099</v>
      </c>
      <c r="H26" s="395" t="s">
        <v>123</v>
      </c>
      <c r="I26" s="396"/>
      <c r="J26" s="399" t="s">
        <v>30</v>
      </c>
      <c r="K26" s="399"/>
      <c r="L26" s="400"/>
      <c r="M26" s="65"/>
    </row>
    <row r="27" spans="2:18" x14ac:dyDescent="0.3">
      <c r="B27" s="2">
        <v>2024</v>
      </c>
      <c r="C27" s="21">
        <f t="shared" si="2"/>
        <v>16149.958371057906</v>
      </c>
      <c r="D27" s="21">
        <f t="shared" si="0"/>
        <v>715927.65458899701</v>
      </c>
      <c r="E27" s="24">
        <f t="shared" si="1"/>
        <v>10227.537922699956</v>
      </c>
      <c r="H27" s="397"/>
      <c r="I27" s="398"/>
      <c r="J27" s="58">
        <v>10000</v>
      </c>
      <c r="K27" s="58">
        <v>15000</v>
      </c>
      <c r="L27" s="69">
        <v>20000</v>
      </c>
      <c r="M27" s="65"/>
    </row>
    <row r="28" spans="2:18" ht="15" x14ac:dyDescent="0.25">
      <c r="B28" s="2">
        <v>2025</v>
      </c>
      <c r="C28" s="21">
        <f t="shared" si="2"/>
        <v>16408.357704994833</v>
      </c>
      <c r="D28" s="21">
        <f t="shared" si="0"/>
        <v>727382.49706242094</v>
      </c>
      <c r="E28" s="24">
        <f t="shared" si="1"/>
        <v>10391.178529463155</v>
      </c>
      <c r="H28" s="350" t="s">
        <v>124</v>
      </c>
      <c r="I28" s="351"/>
      <c r="J28" s="58">
        <v>58.2</v>
      </c>
      <c r="K28" s="58">
        <v>44.9</v>
      </c>
      <c r="L28" s="69">
        <v>38</v>
      </c>
      <c r="M28" s="65"/>
    </row>
    <row r="29" spans="2:18" ht="15" x14ac:dyDescent="0.25">
      <c r="B29" s="2">
        <v>2026</v>
      </c>
      <c r="C29" s="21">
        <f t="shared" si="2"/>
        <v>16670.89142827475</v>
      </c>
      <c r="D29" s="21">
        <f t="shared" si="0"/>
        <v>739020.61701541964</v>
      </c>
      <c r="E29" s="24">
        <f t="shared" si="1"/>
        <v>10557.437385934565</v>
      </c>
      <c r="H29" s="350" t="s">
        <v>125</v>
      </c>
      <c r="I29" s="351"/>
      <c r="J29" s="58">
        <v>75.900000000000006</v>
      </c>
      <c r="K29" s="58">
        <v>58.1</v>
      </c>
      <c r="L29" s="69">
        <v>49</v>
      </c>
      <c r="M29" s="65"/>
    </row>
    <row r="30" spans="2:18" ht="15" x14ac:dyDescent="0.25">
      <c r="B30" s="2">
        <v>2027</v>
      </c>
      <c r="C30" s="21">
        <f t="shared" si="2"/>
        <v>16937.625691127145</v>
      </c>
      <c r="D30" s="21">
        <f t="shared" si="0"/>
        <v>750844.94688766624</v>
      </c>
      <c r="E30" s="24">
        <f t="shared" si="1"/>
        <v>10726.356384109518</v>
      </c>
      <c r="H30" s="350" t="s">
        <v>126</v>
      </c>
      <c r="I30" s="351"/>
      <c r="J30" s="58">
        <v>93.3</v>
      </c>
      <c r="K30" s="58">
        <v>71</v>
      </c>
      <c r="L30" s="69">
        <v>59.5</v>
      </c>
      <c r="M30" s="65"/>
    </row>
    <row r="31" spans="2:18" ht="15" x14ac:dyDescent="0.25">
      <c r="B31" s="2">
        <v>2028</v>
      </c>
      <c r="C31" s="21">
        <f t="shared" si="2"/>
        <v>17208.627702185178</v>
      </c>
      <c r="D31" s="21">
        <f t="shared" si="0"/>
        <v>762858.46603786887</v>
      </c>
      <c r="E31" s="24">
        <f t="shared" si="1"/>
        <v>10897.978086255271</v>
      </c>
      <c r="H31" s="350" t="s">
        <v>127</v>
      </c>
      <c r="I31" s="351"/>
      <c r="J31" s="58">
        <v>75.800000000000011</v>
      </c>
      <c r="K31" s="58">
        <v>58</v>
      </c>
      <c r="L31" s="69">
        <v>48.833333333333336</v>
      </c>
      <c r="M31" s="65"/>
    </row>
    <row r="32" spans="2:18" ht="15" x14ac:dyDescent="0.25">
      <c r="B32" s="2">
        <v>2029</v>
      </c>
      <c r="C32" s="21">
        <f t="shared" si="2"/>
        <v>17483.965745420141</v>
      </c>
      <c r="D32" s="21">
        <f t="shared" si="0"/>
        <v>775064.20149447478</v>
      </c>
      <c r="E32" s="24">
        <f t="shared" si="1"/>
        <v>11072.345735635354</v>
      </c>
      <c r="H32" s="350" t="s">
        <v>128</v>
      </c>
      <c r="I32" s="351"/>
      <c r="J32" s="58">
        <v>92.6</v>
      </c>
      <c r="K32" s="58">
        <v>70.8</v>
      </c>
      <c r="L32" s="69">
        <v>59.7</v>
      </c>
      <c r="M32" s="65"/>
    </row>
    <row r="33" spans="2:13" ht="15" customHeight="1" x14ac:dyDescent="0.25">
      <c r="B33" s="2">
        <v>2030</v>
      </c>
      <c r="C33" s="21">
        <f t="shared" si="2"/>
        <v>17763.709197346863</v>
      </c>
      <c r="D33" s="21">
        <f t="shared" si="0"/>
        <v>787465.22871838638</v>
      </c>
      <c r="E33" s="24">
        <f t="shared" si="1"/>
        <v>11249.50326740552</v>
      </c>
      <c r="H33" s="350" t="s">
        <v>129</v>
      </c>
      <c r="I33" s="351"/>
      <c r="J33" s="58">
        <v>81.2</v>
      </c>
      <c r="K33" s="58">
        <v>62.5</v>
      </c>
      <c r="L33" s="69">
        <v>52.9</v>
      </c>
      <c r="M33" s="65"/>
    </row>
    <row r="34" spans="2:13" ht="15" thickBot="1" x14ac:dyDescent="0.35">
      <c r="B34" s="2">
        <v>2031</v>
      </c>
      <c r="C34" s="21">
        <f t="shared" si="2"/>
        <v>18047.928544504412</v>
      </c>
      <c r="D34" s="21">
        <f t="shared" si="0"/>
        <v>800064.67237788055</v>
      </c>
      <c r="E34" s="24">
        <f t="shared" si="1"/>
        <v>11429.495319684007</v>
      </c>
      <c r="H34" s="352" t="s">
        <v>130</v>
      </c>
      <c r="I34" s="353"/>
      <c r="J34" s="70">
        <v>83.2</v>
      </c>
      <c r="K34" s="194">
        <v>63.766666666666673</v>
      </c>
      <c r="L34" s="195">
        <v>53.81111111111111</v>
      </c>
      <c r="M34" s="65"/>
    </row>
    <row r="35" spans="2:13" x14ac:dyDescent="0.3">
      <c r="B35" s="2">
        <v>2032</v>
      </c>
      <c r="C35" s="21">
        <f t="shared" si="2"/>
        <v>18336.695401216482</v>
      </c>
      <c r="D35" s="21">
        <f t="shared" si="0"/>
        <v>812865.70713592658</v>
      </c>
      <c r="E35" s="24">
        <f t="shared" si="1"/>
        <v>11612.367244798952</v>
      </c>
      <c r="H35" s="63"/>
      <c r="I35" s="64" t="s">
        <v>131</v>
      </c>
      <c r="J35" s="64"/>
      <c r="K35" s="64"/>
      <c r="L35" s="64"/>
      <c r="M35" s="65"/>
    </row>
    <row r="36" spans="2:13" x14ac:dyDescent="0.3">
      <c r="B36" s="2">
        <v>2033</v>
      </c>
      <c r="C36" s="21">
        <f t="shared" si="2"/>
        <v>18630.082527635946</v>
      </c>
      <c r="D36" s="21">
        <f t="shared" si="0"/>
        <v>825871.55845010153</v>
      </c>
      <c r="E36" s="24">
        <f t="shared" si="1"/>
        <v>11798.165120715736</v>
      </c>
      <c r="H36" s="63"/>
      <c r="I36" s="377" t="s">
        <v>132</v>
      </c>
      <c r="J36" s="377"/>
      <c r="K36" s="377"/>
      <c r="L36" s="377"/>
      <c r="M36" s="65"/>
    </row>
    <row r="37" spans="2:13" x14ac:dyDescent="0.3">
      <c r="B37" s="2">
        <v>2034</v>
      </c>
      <c r="C37" s="21">
        <f t="shared" si="2"/>
        <v>18928.163848078122</v>
      </c>
      <c r="D37" s="21">
        <f t="shared" si="0"/>
        <v>839085.50338530308</v>
      </c>
      <c r="E37" s="24">
        <f t="shared" si="1"/>
        <v>11986.935762647186</v>
      </c>
      <c r="H37" s="63"/>
      <c r="I37" s="377"/>
      <c r="J37" s="377"/>
      <c r="K37" s="377"/>
      <c r="L37" s="377"/>
      <c r="M37" s="65"/>
    </row>
    <row r="38" spans="2:13" x14ac:dyDescent="0.3">
      <c r="B38" s="2">
        <v>2035</v>
      </c>
      <c r="C38" s="21">
        <f t="shared" si="2"/>
        <v>19231.014469647373</v>
      </c>
      <c r="D38" s="21">
        <f t="shared" si="0"/>
        <v>852510.871439468</v>
      </c>
      <c r="E38" s="24">
        <f t="shared" si="1"/>
        <v>12178.726734849542</v>
      </c>
      <c r="H38" s="63"/>
      <c r="I38" s="377"/>
      <c r="J38" s="377"/>
      <c r="K38" s="377"/>
      <c r="L38" s="377"/>
      <c r="M38" s="65"/>
    </row>
    <row r="39" spans="2:13" x14ac:dyDescent="0.3">
      <c r="B39" s="2">
        <v>2036</v>
      </c>
      <c r="C39" s="21">
        <f t="shared" si="2"/>
        <v>19538.71070116173</v>
      </c>
      <c r="D39" s="21">
        <f t="shared" si="0"/>
        <v>866151.04538249946</v>
      </c>
      <c r="E39" s="24">
        <f t="shared" si="1"/>
        <v>12373.586362607135</v>
      </c>
      <c r="H39" s="63"/>
      <c r="I39" s="64" t="s">
        <v>133</v>
      </c>
      <c r="J39" s="64"/>
      <c r="K39" s="64"/>
      <c r="L39" s="64"/>
      <c r="M39" s="65"/>
    </row>
    <row r="40" spans="2:13" ht="15" thickBot="1" x14ac:dyDescent="0.35">
      <c r="B40" s="2">
        <v>2037</v>
      </c>
      <c r="C40" s="21">
        <f t="shared" si="2"/>
        <v>19851.330072380319</v>
      </c>
      <c r="D40" s="21">
        <f t="shared" si="0"/>
        <v>880009.46210861951</v>
      </c>
      <c r="E40" s="24">
        <f t="shared" si="1"/>
        <v>12571.56374440885</v>
      </c>
      <c r="H40" s="63"/>
      <c r="I40" s="64" t="s">
        <v>134</v>
      </c>
      <c r="J40" s="64"/>
      <c r="K40" s="64"/>
      <c r="L40" s="64"/>
      <c r="M40" s="65"/>
    </row>
    <row r="41" spans="2:13" ht="15" thickBot="1" x14ac:dyDescent="0.35">
      <c r="B41" s="2">
        <v>2038</v>
      </c>
      <c r="C41" s="21">
        <f t="shared" si="2"/>
        <v>20168.951353538403</v>
      </c>
      <c r="D41" s="21">
        <f t="shared" si="0"/>
        <v>894089.61350235739</v>
      </c>
      <c r="E41" s="24">
        <f t="shared" si="1"/>
        <v>12772.70876431939</v>
      </c>
      <c r="H41" s="390" t="s">
        <v>135</v>
      </c>
      <c r="I41" s="391"/>
      <c r="J41" s="391"/>
      <c r="K41" s="391"/>
      <c r="L41" s="391"/>
      <c r="M41" s="392"/>
    </row>
    <row r="42" spans="2:13" ht="15" thickBot="1" x14ac:dyDescent="0.35">
      <c r="B42" s="2">
        <v>2039</v>
      </c>
      <c r="C42" s="21">
        <f t="shared" si="2"/>
        <v>20491.654575195018</v>
      </c>
      <c r="D42" s="21">
        <f t="shared" si="0"/>
        <v>908395.04731839511</v>
      </c>
      <c r="E42" s="24">
        <f t="shared" si="1"/>
        <v>12977.072104548501</v>
      </c>
      <c r="H42" s="390" t="s">
        <v>136</v>
      </c>
      <c r="I42" s="391"/>
      <c r="J42" s="391"/>
      <c r="K42" s="391"/>
      <c r="L42" s="391"/>
      <c r="M42" s="392"/>
    </row>
    <row r="43" spans="2:13" ht="15" thickBot="1" x14ac:dyDescent="0.35">
      <c r="B43" s="3">
        <v>2040</v>
      </c>
      <c r="C43" s="25">
        <f t="shared" si="2"/>
        <v>20819.521048398139</v>
      </c>
      <c r="D43" s="25">
        <f t="shared" si="0"/>
        <v>922929.36807548942</v>
      </c>
      <c r="E43" s="26">
        <f t="shared" si="1"/>
        <v>13184.705258221278</v>
      </c>
      <c r="H43" s="354" t="s">
        <v>137</v>
      </c>
      <c r="I43" s="355"/>
      <c r="J43" s="355"/>
      <c r="K43" s="196">
        <v>2015</v>
      </c>
      <c r="L43" s="64"/>
      <c r="M43" s="65"/>
    </row>
    <row r="44" spans="2:13" x14ac:dyDescent="0.3">
      <c r="H44" s="350" t="s">
        <v>138</v>
      </c>
      <c r="I44" s="351"/>
      <c r="J44" s="351"/>
      <c r="K44" s="69">
        <v>0.56999999999999995</v>
      </c>
      <c r="L44" s="64"/>
      <c r="M44" s="65"/>
    </row>
    <row r="45" spans="2:13" ht="15" customHeight="1" x14ac:dyDescent="0.3">
      <c r="H45" s="350" t="s">
        <v>139</v>
      </c>
      <c r="I45" s="351"/>
      <c r="J45" s="351"/>
      <c r="K45" s="69">
        <v>0.19700000000000001</v>
      </c>
      <c r="L45" s="64"/>
      <c r="M45" s="65"/>
    </row>
    <row r="46" spans="2:13" x14ac:dyDescent="0.3">
      <c r="H46" s="350" t="s">
        <v>140</v>
      </c>
      <c r="I46" s="351"/>
      <c r="J46" s="351"/>
      <c r="K46" s="69">
        <v>0.18</v>
      </c>
      <c r="L46" s="64"/>
      <c r="M46" s="65"/>
    </row>
    <row r="47" spans="2:13" x14ac:dyDescent="0.3">
      <c r="H47" s="350" t="s">
        <v>141</v>
      </c>
      <c r="I47" s="351"/>
      <c r="J47" s="351"/>
      <c r="K47" s="69">
        <v>7.6999999999999999E-2</v>
      </c>
      <c r="L47" s="64"/>
      <c r="M47" s="65"/>
    </row>
    <row r="48" spans="2:13" x14ac:dyDescent="0.3">
      <c r="H48" s="350" t="s">
        <v>142</v>
      </c>
      <c r="I48" s="351"/>
      <c r="J48" s="351"/>
      <c r="K48" s="69">
        <v>0.02</v>
      </c>
      <c r="L48" s="64"/>
      <c r="M48" s="65"/>
    </row>
    <row r="49" spans="8:13" x14ac:dyDescent="0.3">
      <c r="H49" s="350" t="s">
        <v>143</v>
      </c>
      <c r="I49" s="351"/>
      <c r="J49" s="351"/>
      <c r="K49" s="69">
        <v>4.2999999999999997E-2</v>
      </c>
      <c r="L49" s="64"/>
      <c r="M49" s="65"/>
    </row>
    <row r="50" spans="8:13" x14ac:dyDescent="0.3">
      <c r="H50" s="350" t="s">
        <v>144</v>
      </c>
      <c r="I50" s="351"/>
      <c r="J50" s="351"/>
      <c r="K50" s="69">
        <v>1.6E-2</v>
      </c>
      <c r="L50" s="64"/>
      <c r="M50" s="65"/>
    </row>
    <row r="51" spans="8:13" ht="15" thickBot="1" x14ac:dyDescent="0.35">
      <c r="H51" s="352" t="s">
        <v>145</v>
      </c>
      <c r="I51" s="353"/>
      <c r="J51" s="353"/>
      <c r="K51" s="71">
        <v>1.1029999999999998</v>
      </c>
      <c r="L51" s="64"/>
      <c r="M51" s="65"/>
    </row>
    <row r="52" spans="8:13" x14ac:dyDescent="0.3">
      <c r="H52" s="230"/>
      <c r="I52" s="231"/>
      <c r="J52" s="231"/>
      <c r="K52" s="232"/>
      <c r="L52" s="64"/>
      <c r="M52" s="65"/>
    </row>
    <row r="53" spans="8:13" x14ac:dyDescent="0.3">
      <c r="H53" s="63"/>
      <c r="I53" s="377" t="s">
        <v>149</v>
      </c>
      <c r="J53" s="377"/>
      <c r="K53" s="377"/>
      <c r="L53" s="377"/>
      <c r="M53" s="65"/>
    </row>
    <row r="54" spans="8:13" x14ac:dyDescent="0.3">
      <c r="H54" s="63"/>
      <c r="I54" s="377"/>
      <c r="J54" s="377"/>
      <c r="K54" s="377"/>
      <c r="L54" s="377"/>
      <c r="M54" s="65"/>
    </row>
    <row r="55" spans="8:13" ht="15" thickBot="1" x14ac:dyDescent="0.35">
      <c r="H55" s="66"/>
      <c r="I55" s="376" t="s">
        <v>146</v>
      </c>
      <c r="J55" s="376"/>
      <c r="K55" s="376"/>
      <c r="L55" s="376"/>
      <c r="M55" s="68"/>
    </row>
  </sheetData>
  <mergeCells count="41">
    <mergeCell ref="I55:L55"/>
    <mergeCell ref="I53:L54"/>
    <mergeCell ref="N16:R19"/>
    <mergeCell ref="H13:M13"/>
    <mergeCell ref="H23:M23"/>
    <mergeCell ref="I36:L38"/>
    <mergeCell ref="H24:M24"/>
    <mergeCell ref="H25:M25"/>
    <mergeCell ref="H48:J48"/>
    <mergeCell ref="H49:J49"/>
    <mergeCell ref="H50:J50"/>
    <mergeCell ref="H51:J51"/>
    <mergeCell ref="H26:I27"/>
    <mergeCell ref="H42:M42"/>
    <mergeCell ref="H41:M41"/>
    <mergeCell ref="J26:L26"/>
    <mergeCell ref="B2:H2"/>
    <mergeCell ref="H22:M22"/>
    <mergeCell ref="B4:B5"/>
    <mergeCell ref="B6:B7"/>
    <mergeCell ref="C4:C5"/>
    <mergeCell ref="C6:C7"/>
    <mergeCell ref="C15:C17"/>
    <mergeCell ref="B14:E14"/>
    <mergeCell ref="D15:E15"/>
    <mergeCell ref="H14:M14"/>
    <mergeCell ref="H15:J15"/>
    <mergeCell ref="K15:M15"/>
    <mergeCell ref="B15:B17"/>
    <mergeCell ref="H28:I28"/>
    <mergeCell ref="H29:I29"/>
    <mergeCell ref="H30:I30"/>
    <mergeCell ref="H31:I31"/>
    <mergeCell ref="H32:I32"/>
    <mergeCell ref="H46:J46"/>
    <mergeCell ref="H47:J47"/>
    <mergeCell ref="H33:I33"/>
    <mergeCell ref="H34:I34"/>
    <mergeCell ref="H43:J43"/>
    <mergeCell ref="H44:J44"/>
    <mergeCell ref="H45:J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13" workbookViewId="0">
      <selection activeCell="I29" sqref="I29"/>
    </sheetView>
  </sheetViews>
  <sheetFormatPr defaultRowHeight="14.4" x14ac:dyDescent="0.3"/>
  <cols>
    <col min="3" max="3" width="10.109375" bestFit="1" customWidth="1"/>
    <col min="4" max="4" width="20.5546875" customWidth="1"/>
    <col min="5" max="5" width="21.5546875" bestFit="1" customWidth="1"/>
    <col min="6" max="6" width="30.6640625" bestFit="1" customWidth="1"/>
    <col min="7" max="7" width="32.88671875" bestFit="1" customWidth="1"/>
    <col min="8" max="8" width="39" customWidth="1"/>
    <col min="9" max="9" width="32.88671875" customWidth="1"/>
  </cols>
  <sheetData>
    <row r="1" spans="1:9" ht="18.75" thickBot="1" x14ac:dyDescent="0.3">
      <c r="B1" s="403" t="s">
        <v>71</v>
      </c>
      <c r="C1" s="404"/>
      <c r="D1" s="404"/>
      <c r="E1" s="404"/>
      <c r="F1" s="404"/>
      <c r="G1" s="404"/>
      <c r="H1" s="404"/>
      <c r="I1" s="404"/>
    </row>
    <row r="2" spans="1:9" ht="15" customHeight="1" x14ac:dyDescent="0.3">
      <c r="B2" s="408" t="s">
        <v>0</v>
      </c>
      <c r="C2" s="410" t="s">
        <v>33</v>
      </c>
      <c r="D2" s="412" t="s">
        <v>85</v>
      </c>
      <c r="E2" s="414" t="s">
        <v>84</v>
      </c>
      <c r="F2" s="401" t="s">
        <v>74</v>
      </c>
      <c r="G2" s="416" t="s">
        <v>75</v>
      </c>
      <c r="H2" s="401" t="s">
        <v>42</v>
      </c>
      <c r="I2" s="401" t="s">
        <v>43</v>
      </c>
    </row>
    <row r="3" spans="1:9" ht="15" thickBot="1" x14ac:dyDescent="0.35">
      <c r="B3" s="409"/>
      <c r="C3" s="411"/>
      <c r="D3" s="413"/>
      <c r="E3" s="415"/>
      <c r="F3" s="402"/>
      <c r="G3" s="417"/>
      <c r="H3" s="402"/>
      <c r="I3" s="402"/>
    </row>
    <row r="4" spans="1:9" ht="15" x14ac:dyDescent="0.25">
      <c r="A4">
        <v>0</v>
      </c>
      <c r="B4" s="1">
        <v>2016</v>
      </c>
      <c r="C4" s="54">
        <f>'Input Assumptions'!D19</f>
        <v>630549.91999999993</v>
      </c>
      <c r="D4" s="57">
        <f>C4*$F$37*0.7675</f>
        <v>308596.91088893329</v>
      </c>
      <c r="E4" s="57">
        <f>C4*23.25%*$F$38</f>
        <v>161702.95060919999</v>
      </c>
      <c r="F4" s="135">
        <f>D4+E4</f>
        <v>470299.86149813328</v>
      </c>
      <c r="G4" s="123">
        <f>F4*365</f>
        <v>171659449.44681865</v>
      </c>
      <c r="H4" s="112">
        <f>G4*$F$39</f>
        <v>8239653.5734472955</v>
      </c>
      <c r="I4" s="57">
        <f>H4/(1+$F$40)^A4</f>
        <v>8239653.5734472955</v>
      </c>
    </row>
    <row r="5" spans="1:9" ht="15" x14ac:dyDescent="0.25">
      <c r="A5">
        <v>1</v>
      </c>
      <c r="B5" s="2">
        <v>2017</v>
      </c>
      <c r="C5" s="53">
        <f>'Input Assumptions'!D20</f>
        <v>640638.71872</v>
      </c>
      <c r="D5" s="137">
        <f t="shared" ref="D5:D28" si="0">C5*$F$37*0.7675</f>
        <v>313534.46146315627</v>
      </c>
      <c r="E5" s="137">
        <f t="shared" ref="E5:E28" si="1">C5*23.25%*$F$38</f>
        <v>164290.1978189472</v>
      </c>
      <c r="F5" s="135">
        <f t="shared" ref="F5:F28" si="2">D5+E5</f>
        <v>477824.65928210347</v>
      </c>
      <c r="G5" s="125">
        <f t="shared" ref="G5:G28" si="3">F5*365</f>
        <v>174406000.63796777</v>
      </c>
      <c r="H5" s="112">
        <f t="shared" ref="H5:H28" si="4">G5*$F$39</f>
        <v>8371488.0306224525</v>
      </c>
      <c r="I5" s="42">
        <f t="shared" ref="I5:I28" si="5">H5/(1+$F$40)^A5</f>
        <v>7823820.5893667778</v>
      </c>
    </row>
    <row r="6" spans="1:9" ht="15" x14ac:dyDescent="0.25">
      <c r="A6">
        <v>2</v>
      </c>
      <c r="B6" s="2">
        <v>2018</v>
      </c>
      <c r="C6" s="53">
        <f>'Input Assumptions'!D21</f>
        <v>650888.93821952003</v>
      </c>
      <c r="D6" s="137">
        <f t="shared" si="0"/>
        <v>318551.01284656679</v>
      </c>
      <c r="E6" s="137">
        <f t="shared" si="1"/>
        <v>166918.84098405036</v>
      </c>
      <c r="F6" s="135">
        <f t="shared" si="2"/>
        <v>485469.85383061715</v>
      </c>
      <c r="G6" s="125">
        <f t="shared" si="3"/>
        <v>177196496.64817527</v>
      </c>
      <c r="H6" s="112">
        <f t="shared" si="4"/>
        <v>8505431.8391124122</v>
      </c>
      <c r="I6" s="42">
        <f t="shared" si="5"/>
        <v>7428973.5689688288</v>
      </c>
    </row>
    <row r="7" spans="1:9" ht="15" x14ac:dyDescent="0.25">
      <c r="A7">
        <v>3</v>
      </c>
      <c r="B7" s="2">
        <v>2019</v>
      </c>
      <c r="C7" s="53">
        <f>'Input Assumptions'!D22</f>
        <v>661303.16123103234</v>
      </c>
      <c r="D7" s="137">
        <f t="shared" si="0"/>
        <v>323647.82905211183</v>
      </c>
      <c r="E7" s="137">
        <f t="shared" si="1"/>
        <v>169589.54243979516</v>
      </c>
      <c r="F7" s="135">
        <f t="shared" si="2"/>
        <v>493237.37149190699</v>
      </c>
      <c r="G7" s="125">
        <f t="shared" si="3"/>
        <v>180031640.59454605</v>
      </c>
      <c r="H7" s="112">
        <f t="shared" si="4"/>
        <v>8641518.748538211</v>
      </c>
      <c r="I7" s="42">
        <f t="shared" si="5"/>
        <v>7054053.4075442329</v>
      </c>
    </row>
    <row r="8" spans="1:9" ht="15" x14ac:dyDescent="0.25">
      <c r="A8">
        <v>4</v>
      </c>
      <c r="B8" s="2">
        <v>2020</v>
      </c>
      <c r="C8" s="53">
        <f>'Input Assumptions'!D23</f>
        <v>671884.01181072893</v>
      </c>
      <c r="D8" s="137">
        <f t="shared" si="0"/>
        <v>328826.19431694568</v>
      </c>
      <c r="E8" s="137">
        <f t="shared" si="1"/>
        <v>172302.97511883191</v>
      </c>
      <c r="F8" s="135">
        <f t="shared" si="2"/>
        <v>501129.16943577759</v>
      </c>
      <c r="G8" s="125">
        <f t="shared" si="3"/>
        <v>182912146.84405881</v>
      </c>
      <c r="H8" s="112">
        <f t="shared" si="4"/>
        <v>8779783.0485148225</v>
      </c>
      <c r="I8" s="42">
        <f t="shared" si="5"/>
        <v>6698054.4505279828</v>
      </c>
    </row>
    <row r="9" spans="1:9" ht="15" x14ac:dyDescent="0.25">
      <c r="A9">
        <v>5</v>
      </c>
      <c r="B9" s="2">
        <v>2021</v>
      </c>
      <c r="C9" s="53">
        <f>'Input Assumptions'!D24</f>
        <v>682634.15599970066</v>
      </c>
      <c r="D9" s="137">
        <f t="shared" si="0"/>
        <v>334087.41342601681</v>
      </c>
      <c r="E9" s="137">
        <f t="shared" si="1"/>
        <v>175059.82272073327</v>
      </c>
      <c r="F9" s="135">
        <f t="shared" si="2"/>
        <v>509147.23614675005</v>
      </c>
      <c r="G9" s="125">
        <f t="shared" si="3"/>
        <v>185838741.19356376</v>
      </c>
      <c r="H9" s="112">
        <f t="shared" si="4"/>
        <v>8920259.5772910602</v>
      </c>
      <c r="I9" s="42">
        <f t="shared" si="5"/>
        <v>6360021.7960153557</v>
      </c>
    </row>
    <row r="10" spans="1:9" ht="15" x14ac:dyDescent="0.25">
      <c r="A10">
        <v>6</v>
      </c>
      <c r="B10" s="2">
        <v>2022</v>
      </c>
      <c r="C10" s="53">
        <f>'Input Assumptions'!D25</f>
        <v>693556.30249569588</v>
      </c>
      <c r="D10" s="137">
        <f t="shared" si="0"/>
        <v>339432.81204083312</v>
      </c>
      <c r="E10" s="137">
        <f t="shared" si="1"/>
        <v>177860.77988426498</v>
      </c>
      <c r="F10" s="135">
        <f t="shared" si="2"/>
        <v>517293.5919250981</v>
      </c>
      <c r="G10" s="125">
        <f t="shared" si="3"/>
        <v>188812161.05266079</v>
      </c>
      <c r="H10" s="112">
        <f t="shared" si="4"/>
        <v>9062983.7305277176</v>
      </c>
      <c r="I10" s="42">
        <f t="shared" si="5"/>
        <v>6039048.7334127119</v>
      </c>
    </row>
    <row r="11" spans="1:9" ht="15" x14ac:dyDescent="0.25">
      <c r="A11">
        <v>7</v>
      </c>
      <c r="B11" s="2">
        <v>2023</v>
      </c>
      <c r="C11" s="53">
        <f>'Input Assumptions'!D26</f>
        <v>704653.20333562698</v>
      </c>
      <c r="D11" s="137">
        <f t="shared" si="0"/>
        <v>344863.73703348642</v>
      </c>
      <c r="E11" s="137">
        <f t="shared" si="1"/>
        <v>180706.5523624132</v>
      </c>
      <c r="F11" s="135">
        <f t="shared" si="2"/>
        <v>525570.28939589963</v>
      </c>
      <c r="G11" s="125">
        <f t="shared" si="3"/>
        <v>191833155.62950337</v>
      </c>
      <c r="H11" s="112">
        <f t="shared" si="4"/>
        <v>9207991.4702161625</v>
      </c>
      <c r="I11" s="42">
        <f t="shared" si="5"/>
        <v>5734274.311352632</v>
      </c>
    </row>
    <row r="12" spans="1:9" ht="15" x14ac:dyDescent="0.25">
      <c r="A12">
        <v>8</v>
      </c>
      <c r="B12" s="2">
        <v>2024</v>
      </c>
      <c r="C12" s="53">
        <f>'Input Assumptions'!D27</f>
        <v>715927.65458899701</v>
      </c>
      <c r="D12" s="137">
        <f t="shared" si="0"/>
        <v>350381.55682602222</v>
      </c>
      <c r="E12" s="137">
        <f t="shared" si="1"/>
        <v>183597.85720021185</v>
      </c>
      <c r="F12" s="135">
        <f t="shared" si="2"/>
        <v>533979.41402623407</v>
      </c>
      <c r="G12" s="125">
        <f t="shared" si="3"/>
        <v>194902486.11957544</v>
      </c>
      <c r="H12" s="112">
        <f t="shared" si="4"/>
        <v>9355319.3337396216</v>
      </c>
      <c r="I12" s="42">
        <f t="shared" si="5"/>
        <v>5444881.0283497889</v>
      </c>
    </row>
    <row r="13" spans="1:9" ht="15" x14ac:dyDescent="0.25">
      <c r="A13">
        <v>9</v>
      </c>
      <c r="B13" s="2">
        <v>2025</v>
      </c>
      <c r="C13" s="53">
        <f>'Input Assumptions'!D28</f>
        <v>727382.49706242094</v>
      </c>
      <c r="D13" s="137">
        <f t="shared" si="0"/>
        <v>355987.66173523857</v>
      </c>
      <c r="E13" s="137">
        <f t="shared" si="1"/>
        <v>186535.4229154152</v>
      </c>
      <c r="F13" s="135">
        <f t="shared" si="2"/>
        <v>542523.08465065376</v>
      </c>
      <c r="G13" s="125">
        <f t="shared" si="3"/>
        <v>198020925.89748862</v>
      </c>
      <c r="H13" s="112">
        <f t="shared" si="4"/>
        <v>9505004.4430794548</v>
      </c>
      <c r="I13" s="42">
        <f t="shared" si="5"/>
        <v>5170092.6400031634</v>
      </c>
    </row>
    <row r="14" spans="1:9" ht="15" x14ac:dyDescent="0.25">
      <c r="A14">
        <v>10</v>
      </c>
      <c r="B14" s="2">
        <v>2026</v>
      </c>
      <c r="C14" s="53">
        <f>'Input Assumptions'!D29</f>
        <v>739020.61701541964</v>
      </c>
      <c r="D14" s="137">
        <f t="shared" si="0"/>
        <v>361683.46432300238</v>
      </c>
      <c r="E14" s="137">
        <f t="shared" si="1"/>
        <v>189519.98968206183</v>
      </c>
      <c r="F14" s="135">
        <f t="shared" si="2"/>
        <v>551203.45400506421</v>
      </c>
      <c r="G14" s="125">
        <f t="shared" si="3"/>
        <v>201189260.71184844</v>
      </c>
      <c r="H14" s="112">
        <f t="shared" si="4"/>
        <v>9657084.5141687244</v>
      </c>
      <c r="I14" s="42">
        <f t="shared" si="5"/>
        <v>4909172.0768628158</v>
      </c>
    </row>
    <row r="15" spans="1:9" ht="15" x14ac:dyDescent="0.25">
      <c r="A15">
        <v>11</v>
      </c>
      <c r="B15" s="2">
        <v>2027</v>
      </c>
      <c r="C15" s="53">
        <f>'Input Assumptions'!D30</f>
        <v>750844.94688766624</v>
      </c>
      <c r="D15" s="137">
        <f t="shared" si="0"/>
        <v>367470.39975217037</v>
      </c>
      <c r="E15" s="137">
        <f t="shared" si="1"/>
        <v>192552.30951697481</v>
      </c>
      <c r="F15" s="135">
        <f t="shared" si="2"/>
        <v>560022.70926914515</v>
      </c>
      <c r="G15" s="125">
        <f t="shared" si="3"/>
        <v>204408288.88323799</v>
      </c>
      <c r="H15" s="112">
        <f t="shared" si="4"/>
        <v>9811597.8663954232</v>
      </c>
      <c r="I15" s="42">
        <f t="shared" si="5"/>
        <v>4661419.4673762806</v>
      </c>
    </row>
    <row r="16" spans="1:9" ht="15" x14ac:dyDescent="0.25">
      <c r="A16">
        <v>12</v>
      </c>
      <c r="B16" s="2">
        <v>2028</v>
      </c>
      <c r="C16" s="53">
        <f>'Input Assumptions'!D31</f>
        <v>762858.46603786887</v>
      </c>
      <c r="D16" s="137">
        <f t="shared" si="0"/>
        <v>373349.92614820506</v>
      </c>
      <c r="E16" s="137">
        <f t="shared" si="1"/>
        <v>195633.14646924639</v>
      </c>
      <c r="F16" s="135">
        <f t="shared" si="2"/>
        <v>568983.07261745143</v>
      </c>
      <c r="G16" s="125">
        <f t="shared" si="3"/>
        <v>207678821.50536978</v>
      </c>
      <c r="H16" s="112">
        <f t="shared" si="4"/>
        <v>9968583.4322577491</v>
      </c>
      <c r="I16" s="42">
        <f t="shared" si="5"/>
        <v>4426170.2606114969</v>
      </c>
    </row>
    <row r="17" spans="1:9" ht="15" x14ac:dyDescent="0.25">
      <c r="A17">
        <v>13</v>
      </c>
      <c r="B17" s="2">
        <v>2029</v>
      </c>
      <c r="C17" s="53">
        <f>'Input Assumptions'!D32</f>
        <v>775064.20149447478</v>
      </c>
      <c r="D17" s="137">
        <f t="shared" si="0"/>
        <v>379323.52496657637</v>
      </c>
      <c r="E17" s="137">
        <f t="shared" si="1"/>
        <v>198763.27681275434</v>
      </c>
      <c r="F17" s="135">
        <f t="shared" si="2"/>
        <v>578086.80177933071</v>
      </c>
      <c r="G17" s="125">
        <f t="shared" si="3"/>
        <v>211001682.6494557</v>
      </c>
      <c r="H17" s="112">
        <f t="shared" si="4"/>
        <v>10128080.767173873</v>
      </c>
      <c r="I17" s="42">
        <f t="shared" si="5"/>
        <v>4202793.4437208232</v>
      </c>
    </row>
    <row r="18" spans="1:9" ht="15" x14ac:dyDescent="0.25">
      <c r="A18">
        <v>14</v>
      </c>
      <c r="B18" s="2">
        <v>2030</v>
      </c>
      <c r="C18" s="53">
        <f>'Input Assumptions'!D33</f>
        <v>787465.22871838638</v>
      </c>
      <c r="D18" s="137">
        <f t="shared" si="0"/>
        <v>385392.70136604155</v>
      </c>
      <c r="E18" s="137">
        <f t="shared" si="1"/>
        <v>201943.48924175839</v>
      </c>
      <c r="F18" s="135">
        <f t="shared" si="2"/>
        <v>587336.19060779992</v>
      </c>
      <c r="G18" s="125">
        <f t="shared" si="3"/>
        <v>214377709.57184696</v>
      </c>
      <c r="H18" s="112">
        <f t="shared" si="4"/>
        <v>10290130.059448654</v>
      </c>
      <c r="I18" s="42">
        <f t="shared" si="5"/>
        <v>3990689.8493648185</v>
      </c>
    </row>
    <row r="19" spans="1:9" ht="15" x14ac:dyDescent="0.25">
      <c r="A19">
        <v>15</v>
      </c>
      <c r="B19" s="2">
        <v>2031</v>
      </c>
      <c r="C19" s="53">
        <f>'Input Assumptions'!D34</f>
        <v>800064.67237788055</v>
      </c>
      <c r="D19" s="137">
        <f t="shared" si="0"/>
        <v>391558.98458789825</v>
      </c>
      <c r="E19" s="137">
        <f t="shared" si="1"/>
        <v>205174.58506962651</v>
      </c>
      <c r="F19" s="135">
        <f t="shared" si="2"/>
        <v>596733.56965752481</v>
      </c>
      <c r="G19" s="125">
        <f t="shared" si="3"/>
        <v>217807752.92499655</v>
      </c>
      <c r="H19" s="112">
        <f t="shared" si="4"/>
        <v>10454772.140399834</v>
      </c>
      <c r="I19" s="42">
        <f t="shared" si="5"/>
        <v>3789290.5485557527</v>
      </c>
    </row>
    <row r="20" spans="1:9" ht="15" x14ac:dyDescent="0.25">
      <c r="A20">
        <v>16</v>
      </c>
      <c r="B20" s="2">
        <v>2032</v>
      </c>
      <c r="C20" s="53">
        <f>'Input Assumptions'!D35</f>
        <v>812865.70713592658</v>
      </c>
      <c r="D20" s="137">
        <f t="shared" si="0"/>
        <v>397823.92834130459</v>
      </c>
      <c r="E20" s="137">
        <f t="shared" si="1"/>
        <v>208457.37843074056</v>
      </c>
      <c r="F20" s="135">
        <f t="shared" si="2"/>
        <v>606281.30677204509</v>
      </c>
      <c r="G20" s="125">
        <f t="shared" si="3"/>
        <v>221292676.97179645</v>
      </c>
      <c r="H20" s="112">
        <f t="shared" si="4"/>
        <v>10622048.494646231</v>
      </c>
      <c r="I20" s="42">
        <f t="shared" si="5"/>
        <v>3598055.3246099488</v>
      </c>
    </row>
    <row r="21" spans="1:9" ht="15" x14ac:dyDescent="0.25">
      <c r="A21">
        <v>17</v>
      </c>
      <c r="B21" s="2">
        <v>2033</v>
      </c>
      <c r="C21" s="53">
        <f>'Input Assumptions'!D36</f>
        <v>825871.55845010153</v>
      </c>
      <c r="D21" s="137">
        <f t="shared" si="0"/>
        <v>404189.11119476549</v>
      </c>
      <c r="E21" s="137">
        <f t="shared" si="1"/>
        <v>211792.69648563242</v>
      </c>
      <c r="F21" s="135">
        <f t="shared" si="2"/>
        <v>615981.80768039788</v>
      </c>
      <c r="G21" s="125">
        <f t="shared" si="3"/>
        <v>224833359.80334523</v>
      </c>
      <c r="H21" s="112">
        <f t="shared" si="4"/>
        <v>10792001.270560572</v>
      </c>
      <c r="I21" s="42">
        <f t="shared" si="5"/>
        <v>3416471.2241156152</v>
      </c>
    </row>
    <row r="22" spans="1:9" ht="15" x14ac:dyDescent="0.25">
      <c r="A22">
        <v>18</v>
      </c>
      <c r="B22" s="2">
        <v>2034</v>
      </c>
      <c r="C22" s="53">
        <f>'Input Assumptions'!D37</f>
        <v>839085.50338530308</v>
      </c>
      <c r="D22" s="137">
        <f t="shared" si="0"/>
        <v>410656.13697388169</v>
      </c>
      <c r="E22" s="137">
        <f t="shared" si="1"/>
        <v>215181.37962940251</v>
      </c>
      <c r="F22" s="135">
        <f t="shared" si="2"/>
        <v>625837.51660328417</v>
      </c>
      <c r="G22" s="125">
        <f t="shared" si="3"/>
        <v>228430693.56019872</v>
      </c>
      <c r="H22" s="112">
        <f t="shared" si="4"/>
        <v>10964673.290889539</v>
      </c>
      <c r="I22" s="42">
        <f t="shared" si="5"/>
        <v>3244051.1810294059</v>
      </c>
    </row>
    <row r="23" spans="1:9" ht="15" x14ac:dyDescent="0.25">
      <c r="A23">
        <v>19</v>
      </c>
      <c r="B23" s="2">
        <v>2035</v>
      </c>
      <c r="C23" s="53">
        <f>'Input Assumptions'!D38</f>
        <v>852510.871439468</v>
      </c>
      <c r="D23" s="137">
        <f t="shared" si="0"/>
        <v>417226.63516546384</v>
      </c>
      <c r="E23" s="137">
        <f t="shared" si="1"/>
        <v>218624.28170347298</v>
      </c>
      <c r="F23" s="135">
        <f t="shared" si="2"/>
        <v>635850.91686893685</v>
      </c>
      <c r="G23" s="125">
        <f t="shared" si="3"/>
        <v>232085584.65716195</v>
      </c>
      <c r="H23" s="112">
        <f t="shared" si="4"/>
        <v>11140108.063543774</v>
      </c>
      <c r="I23" s="42">
        <f t="shared" si="5"/>
        <v>3080332.7102111001</v>
      </c>
    </row>
    <row r="24" spans="1:9" ht="15" x14ac:dyDescent="0.25">
      <c r="A24">
        <v>20</v>
      </c>
      <c r="B24" s="2">
        <v>2036</v>
      </c>
      <c r="C24" s="53">
        <f>'Input Assumptions'!D39</f>
        <v>866151.04538249946</v>
      </c>
      <c r="D24" s="137">
        <f t="shared" si="0"/>
        <v>423902.26132811129</v>
      </c>
      <c r="E24" s="137">
        <f t="shared" si="1"/>
        <v>222122.27021072854</v>
      </c>
      <c r="F24" s="135">
        <f t="shared" si="2"/>
        <v>646024.5315388398</v>
      </c>
      <c r="G24" s="125">
        <f t="shared" si="3"/>
        <v>235798954.01167652</v>
      </c>
      <c r="H24" s="112">
        <f t="shared" si="4"/>
        <v>11318349.792560473</v>
      </c>
      <c r="I24" s="42">
        <f t="shared" si="5"/>
        <v>2924876.6668920349</v>
      </c>
    </row>
    <row r="25" spans="1:9" ht="15" x14ac:dyDescent="0.25">
      <c r="A25">
        <v>21</v>
      </c>
      <c r="B25" s="2">
        <v>2037</v>
      </c>
      <c r="C25" s="53">
        <f>'Input Assumptions'!D40</f>
        <v>880009.46210861951</v>
      </c>
      <c r="D25" s="137">
        <f t="shared" si="0"/>
        <v>430684.69750936108</v>
      </c>
      <c r="E25" s="137">
        <f t="shared" si="1"/>
        <v>225676.22653410019</v>
      </c>
      <c r="F25" s="135">
        <f t="shared" si="2"/>
        <v>656360.92404346121</v>
      </c>
      <c r="G25" s="125">
        <f t="shared" si="3"/>
        <v>239571737.27586335</v>
      </c>
      <c r="H25" s="112">
        <f t="shared" si="4"/>
        <v>11499443.38924144</v>
      </c>
      <c r="I25" s="42">
        <f t="shared" si="5"/>
        <v>2777266.0687498199</v>
      </c>
    </row>
    <row r="26" spans="1:9" ht="15" x14ac:dyDescent="0.25">
      <c r="A26">
        <v>22</v>
      </c>
      <c r="B26" s="2">
        <v>2038</v>
      </c>
      <c r="C26" s="53">
        <f>'Input Assumptions'!D41</f>
        <v>894089.61350235739</v>
      </c>
      <c r="D26" s="137">
        <f t="shared" si="0"/>
        <v>437575.65266951086</v>
      </c>
      <c r="E26" s="137">
        <f t="shared" si="1"/>
        <v>229287.04615864583</v>
      </c>
      <c r="F26" s="135">
        <f t="shared" si="2"/>
        <v>666862.69882815669</v>
      </c>
      <c r="G26" s="125">
        <f t="shared" si="3"/>
        <v>243404885.07227719</v>
      </c>
      <c r="H26" s="112">
        <f t="shared" si="4"/>
        <v>11683434.483469306</v>
      </c>
      <c r="I26" s="42">
        <f t="shared" si="5"/>
        <v>2637104.9774297364</v>
      </c>
    </row>
    <row r="27" spans="1:9" ht="15" x14ac:dyDescent="0.25">
      <c r="A27">
        <v>23</v>
      </c>
      <c r="B27" s="2">
        <v>2039</v>
      </c>
      <c r="C27" s="53">
        <f>'Input Assumptions'!D42</f>
        <v>908395.04731839511</v>
      </c>
      <c r="D27" s="137">
        <f t="shared" si="0"/>
        <v>444576.86311222299</v>
      </c>
      <c r="E27" s="137">
        <f t="shared" si="1"/>
        <v>232955.63889718414</v>
      </c>
      <c r="F27" s="135">
        <f t="shared" si="2"/>
        <v>677532.50200940715</v>
      </c>
      <c r="G27" s="125">
        <f t="shared" si="3"/>
        <v>247299363.2334336</v>
      </c>
      <c r="H27" s="112">
        <f t="shared" si="4"/>
        <v>11870369.435204813</v>
      </c>
      <c r="I27" s="42">
        <f t="shared" si="5"/>
        <v>2504017.4365127212</v>
      </c>
    </row>
    <row r="28" spans="1:9" ht="15.75" thickBot="1" x14ac:dyDescent="0.3">
      <c r="A28">
        <v>24</v>
      </c>
      <c r="B28" s="3">
        <v>2040</v>
      </c>
      <c r="C28" s="55">
        <f>'Input Assumptions'!D43</f>
        <v>922929.36807548942</v>
      </c>
      <c r="D28" s="138">
        <f t="shared" si="0"/>
        <v>451690.09292201855</v>
      </c>
      <c r="E28" s="138">
        <f t="shared" si="1"/>
        <v>236682.92911953907</v>
      </c>
      <c r="F28" s="136">
        <f t="shared" si="2"/>
        <v>688373.02204155759</v>
      </c>
      <c r="G28" s="126">
        <f t="shared" si="3"/>
        <v>251256153.04516852</v>
      </c>
      <c r="H28" s="124">
        <f t="shared" si="4"/>
        <v>12060295.34616809</v>
      </c>
      <c r="I28" s="43">
        <f t="shared" si="5"/>
        <v>2377646.4630812379</v>
      </c>
    </row>
    <row r="29" spans="1:9" ht="15.75" thickBot="1" x14ac:dyDescent="0.3">
      <c r="D29" s="113"/>
      <c r="E29" s="113"/>
      <c r="F29" s="113"/>
      <c r="G29" s="113"/>
      <c r="H29" s="114" t="s">
        <v>32</v>
      </c>
      <c r="I29" s="115">
        <f>SUM(I4:I28)</f>
        <v>118532231.79811235</v>
      </c>
    </row>
    <row r="30" spans="1:9" ht="15" x14ac:dyDescent="0.25">
      <c r="B30" s="406" t="s">
        <v>1</v>
      </c>
      <c r="C30" s="406"/>
      <c r="D30" s="406"/>
      <c r="E30" s="406"/>
      <c r="F30" s="406"/>
      <c r="G30" s="406"/>
      <c r="I30" s="113"/>
    </row>
    <row r="31" spans="1:9" ht="15" x14ac:dyDescent="0.25">
      <c r="I31" s="113"/>
    </row>
    <row r="32" spans="1:9" ht="15" x14ac:dyDescent="0.25">
      <c r="C32" t="s">
        <v>20</v>
      </c>
    </row>
    <row r="37" spans="3:8" ht="15" x14ac:dyDescent="0.25">
      <c r="C37" s="405" t="s">
        <v>118</v>
      </c>
      <c r="D37" s="405"/>
      <c r="E37" s="405"/>
      <c r="F37" s="41">
        <f>F54/100</f>
        <v>0.63766666666666671</v>
      </c>
    </row>
    <row r="38" spans="3:8" ht="15" x14ac:dyDescent="0.25">
      <c r="C38" s="405" t="s">
        <v>119</v>
      </c>
      <c r="D38" s="405"/>
      <c r="E38" s="405"/>
      <c r="F38" s="41">
        <v>1.103</v>
      </c>
    </row>
    <row r="39" spans="3:8" ht="31.5" customHeight="1" x14ac:dyDescent="0.25">
      <c r="C39" s="407" t="s">
        <v>41</v>
      </c>
      <c r="D39" s="407"/>
      <c r="E39" s="407"/>
      <c r="F39" s="44">
        <v>4.8000000000000001E-2</v>
      </c>
    </row>
    <row r="40" spans="3:8" ht="15" x14ac:dyDescent="0.25">
      <c r="C40" s="405" t="s">
        <v>31</v>
      </c>
      <c r="D40" s="405"/>
      <c r="E40" s="405"/>
      <c r="F40" s="44">
        <v>7.0000000000000007E-2</v>
      </c>
    </row>
    <row r="41" spans="3:8" ht="15.75" thickBot="1" x14ac:dyDescent="0.3"/>
    <row r="42" spans="3:8" ht="18.75" thickBot="1" x14ac:dyDescent="0.3">
      <c r="C42" s="356" t="s">
        <v>148</v>
      </c>
      <c r="D42" s="357"/>
      <c r="E42" s="357"/>
      <c r="F42" s="357"/>
      <c r="G42" s="357"/>
      <c r="H42" s="358"/>
    </row>
    <row r="43" spans="3:8" ht="15.75" thickBot="1" x14ac:dyDescent="0.3">
      <c r="C43" s="387" t="s">
        <v>147</v>
      </c>
      <c r="D43" s="388"/>
      <c r="E43" s="388"/>
      <c r="F43" s="388"/>
      <c r="G43" s="388"/>
      <c r="H43" s="389"/>
    </row>
    <row r="44" spans="3:8" ht="15.75" thickBot="1" x14ac:dyDescent="0.3">
      <c r="C44" s="390" t="s">
        <v>121</v>
      </c>
      <c r="D44" s="391"/>
      <c r="E44" s="391"/>
      <c r="F44" s="391"/>
      <c r="G44" s="391"/>
      <c r="H44" s="392"/>
    </row>
    <row r="45" spans="3:8" ht="15.75" thickBot="1" x14ac:dyDescent="0.3">
      <c r="C45" s="393" t="s">
        <v>122</v>
      </c>
      <c r="D45" s="394"/>
      <c r="E45" s="394"/>
      <c r="F45" s="394"/>
      <c r="G45" s="394"/>
      <c r="H45" s="392"/>
    </row>
    <row r="46" spans="3:8" x14ac:dyDescent="0.3">
      <c r="C46" s="395" t="s">
        <v>123</v>
      </c>
      <c r="D46" s="396"/>
      <c r="E46" s="399" t="s">
        <v>30</v>
      </c>
      <c r="F46" s="399"/>
      <c r="G46" s="400"/>
      <c r="H46" s="65"/>
    </row>
    <row r="47" spans="3:8" x14ac:dyDescent="0.3">
      <c r="C47" s="397"/>
      <c r="D47" s="398"/>
      <c r="E47" s="58">
        <v>10000</v>
      </c>
      <c r="F47" s="58">
        <v>15000</v>
      </c>
      <c r="G47" s="69">
        <v>20000</v>
      </c>
      <c r="H47" s="65"/>
    </row>
    <row r="48" spans="3:8" x14ac:dyDescent="0.3">
      <c r="C48" s="350" t="s">
        <v>124</v>
      </c>
      <c r="D48" s="351"/>
      <c r="E48" s="58">
        <v>58.2</v>
      </c>
      <c r="F48" s="58">
        <v>44.9</v>
      </c>
      <c r="G48" s="69">
        <v>38</v>
      </c>
      <c r="H48" s="65"/>
    </row>
    <row r="49" spans="3:8" x14ac:dyDescent="0.3">
      <c r="C49" s="350" t="s">
        <v>125</v>
      </c>
      <c r="D49" s="351"/>
      <c r="E49" s="58">
        <v>75.900000000000006</v>
      </c>
      <c r="F49" s="58">
        <v>58.1</v>
      </c>
      <c r="G49" s="69">
        <v>49</v>
      </c>
      <c r="H49" s="65"/>
    </row>
    <row r="50" spans="3:8" x14ac:dyDescent="0.3">
      <c r="C50" s="350" t="s">
        <v>126</v>
      </c>
      <c r="D50" s="351"/>
      <c r="E50" s="58">
        <v>93.3</v>
      </c>
      <c r="F50" s="58">
        <v>71</v>
      </c>
      <c r="G50" s="69">
        <v>59.5</v>
      </c>
      <c r="H50" s="65"/>
    </row>
    <row r="51" spans="3:8" x14ac:dyDescent="0.3">
      <c r="C51" s="350" t="s">
        <v>127</v>
      </c>
      <c r="D51" s="351"/>
      <c r="E51" s="58">
        <v>75.800000000000011</v>
      </c>
      <c r="F51" s="58">
        <v>58</v>
      </c>
      <c r="G51" s="233">
        <v>48.833333333333336</v>
      </c>
      <c r="H51" s="65"/>
    </row>
    <row r="52" spans="3:8" x14ac:dyDescent="0.3">
      <c r="C52" s="350" t="s">
        <v>128</v>
      </c>
      <c r="D52" s="351"/>
      <c r="E52" s="58">
        <v>92.6</v>
      </c>
      <c r="F52" s="58">
        <v>70.8</v>
      </c>
      <c r="G52" s="69">
        <v>59.7</v>
      </c>
      <c r="H52" s="65"/>
    </row>
    <row r="53" spans="3:8" x14ac:dyDescent="0.3">
      <c r="C53" s="350" t="s">
        <v>129</v>
      </c>
      <c r="D53" s="351"/>
      <c r="E53" s="58">
        <v>81.2</v>
      </c>
      <c r="F53" s="58">
        <v>62.5</v>
      </c>
      <c r="G53" s="69">
        <v>52.9</v>
      </c>
      <c r="H53" s="65"/>
    </row>
    <row r="54" spans="3:8" ht="15" thickBot="1" x14ac:dyDescent="0.35">
      <c r="C54" s="352" t="s">
        <v>130</v>
      </c>
      <c r="D54" s="353"/>
      <c r="E54" s="70">
        <v>83.2</v>
      </c>
      <c r="F54" s="194">
        <v>63.766666666666673</v>
      </c>
      <c r="G54" s="195">
        <v>53.81111111111111</v>
      </c>
      <c r="H54" s="65"/>
    </row>
    <row r="55" spans="3:8" x14ac:dyDescent="0.3">
      <c r="C55" s="63"/>
      <c r="D55" s="64" t="s">
        <v>131</v>
      </c>
      <c r="E55" s="64"/>
      <c r="F55" s="64"/>
      <c r="G55" s="64"/>
      <c r="H55" s="65"/>
    </row>
    <row r="56" spans="3:8" x14ac:dyDescent="0.3">
      <c r="C56" s="63"/>
      <c r="D56" s="377" t="s">
        <v>132</v>
      </c>
      <c r="E56" s="377"/>
      <c r="F56" s="377"/>
      <c r="G56" s="377"/>
      <c r="H56" s="65"/>
    </row>
    <row r="57" spans="3:8" x14ac:dyDescent="0.3">
      <c r="C57" s="63"/>
      <c r="D57" s="377"/>
      <c r="E57" s="377"/>
      <c r="F57" s="377"/>
      <c r="G57" s="377"/>
      <c r="H57" s="65"/>
    </row>
    <row r="58" spans="3:8" x14ac:dyDescent="0.3">
      <c r="C58" s="63"/>
      <c r="D58" s="377"/>
      <c r="E58" s="377"/>
      <c r="F58" s="377"/>
      <c r="G58" s="377"/>
      <c r="H58" s="65"/>
    </row>
    <row r="59" spans="3:8" x14ac:dyDescent="0.3">
      <c r="C59" s="63"/>
      <c r="D59" s="64" t="s">
        <v>133</v>
      </c>
      <c r="E59" s="64"/>
      <c r="F59" s="64"/>
      <c r="G59" s="64"/>
      <c r="H59" s="65"/>
    </row>
    <row r="60" spans="3:8" ht="15" thickBot="1" x14ac:dyDescent="0.35">
      <c r="C60" s="63"/>
      <c r="D60" s="64" t="s">
        <v>134</v>
      </c>
      <c r="E60" s="64"/>
      <c r="F60" s="64"/>
      <c r="G60" s="64"/>
      <c r="H60" s="65"/>
    </row>
    <row r="61" spans="3:8" ht="15" thickBot="1" x14ac:dyDescent="0.35">
      <c r="C61" s="390" t="s">
        <v>135</v>
      </c>
      <c r="D61" s="391"/>
      <c r="E61" s="391"/>
      <c r="F61" s="391"/>
      <c r="G61" s="391"/>
      <c r="H61" s="392"/>
    </row>
    <row r="62" spans="3:8" ht="15" thickBot="1" x14ac:dyDescent="0.35">
      <c r="C62" s="390" t="s">
        <v>207</v>
      </c>
      <c r="D62" s="391"/>
      <c r="E62" s="391"/>
      <c r="F62" s="391"/>
      <c r="G62" s="391"/>
      <c r="H62" s="392"/>
    </row>
    <row r="63" spans="3:8" x14ac:dyDescent="0.3">
      <c r="C63" s="354" t="s">
        <v>137</v>
      </c>
      <c r="D63" s="355"/>
      <c r="E63" s="355"/>
      <c r="F63" s="196">
        <v>2015</v>
      </c>
      <c r="G63" s="64"/>
      <c r="H63" s="65"/>
    </row>
    <row r="64" spans="3:8" x14ac:dyDescent="0.3">
      <c r="C64" s="350" t="s">
        <v>138</v>
      </c>
      <c r="D64" s="351"/>
      <c r="E64" s="351"/>
      <c r="F64" s="69">
        <v>0.56999999999999995</v>
      </c>
      <c r="G64" s="64"/>
      <c r="H64" s="65"/>
    </row>
    <row r="65" spans="3:8" x14ac:dyDescent="0.3">
      <c r="C65" s="350" t="s">
        <v>139</v>
      </c>
      <c r="D65" s="351"/>
      <c r="E65" s="351"/>
      <c r="F65" s="69">
        <v>0.19700000000000001</v>
      </c>
      <c r="G65" s="64"/>
      <c r="H65" s="65"/>
    </row>
    <row r="66" spans="3:8" x14ac:dyDescent="0.3">
      <c r="C66" s="350" t="s">
        <v>140</v>
      </c>
      <c r="D66" s="351"/>
      <c r="E66" s="351"/>
      <c r="F66" s="69">
        <v>0.18</v>
      </c>
      <c r="G66" s="64"/>
      <c r="H66" s="65"/>
    </row>
    <row r="67" spans="3:8" x14ac:dyDescent="0.3">
      <c r="C67" s="350" t="s">
        <v>141</v>
      </c>
      <c r="D67" s="351"/>
      <c r="E67" s="351"/>
      <c r="F67" s="69">
        <v>7.6999999999999999E-2</v>
      </c>
      <c r="G67" s="64"/>
      <c r="H67" s="65"/>
    </row>
    <row r="68" spans="3:8" x14ac:dyDescent="0.3">
      <c r="C68" s="350" t="s">
        <v>142</v>
      </c>
      <c r="D68" s="351"/>
      <c r="E68" s="351"/>
      <c r="F68" s="69">
        <v>0.02</v>
      </c>
      <c r="G68" s="64"/>
      <c r="H68" s="65"/>
    </row>
    <row r="69" spans="3:8" x14ac:dyDescent="0.3">
      <c r="C69" s="350" t="s">
        <v>143</v>
      </c>
      <c r="D69" s="351"/>
      <c r="E69" s="351"/>
      <c r="F69" s="69">
        <v>4.2999999999999997E-2</v>
      </c>
      <c r="G69" s="64"/>
      <c r="H69" s="65"/>
    </row>
    <row r="70" spans="3:8" x14ac:dyDescent="0.3">
      <c r="C70" s="350" t="s">
        <v>144</v>
      </c>
      <c r="D70" s="351"/>
      <c r="E70" s="351"/>
      <c r="F70" s="69">
        <v>1.6E-2</v>
      </c>
      <c r="G70" s="64"/>
      <c r="H70" s="65"/>
    </row>
    <row r="71" spans="3:8" ht="15" thickBot="1" x14ac:dyDescent="0.35">
      <c r="C71" s="352" t="s">
        <v>145</v>
      </c>
      <c r="D71" s="353"/>
      <c r="E71" s="353"/>
      <c r="F71" s="71">
        <v>1.1029999999999998</v>
      </c>
      <c r="G71" s="64"/>
      <c r="H71" s="65"/>
    </row>
    <row r="72" spans="3:8" x14ac:dyDescent="0.3">
      <c r="C72" s="230"/>
      <c r="D72" s="231"/>
      <c r="E72" s="231"/>
      <c r="F72" s="232"/>
      <c r="G72" s="64"/>
      <c r="H72" s="65"/>
    </row>
    <row r="73" spans="3:8" x14ac:dyDescent="0.3">
      <c r="C73" s="63"/>
      <c r="D73" s="377" t="s">
        <v>149</v>
      </c>
      <c r="E73" s="377"/>
      <c r="F73" s="377"/>
      <c r="G73" s="377"/>
      <c r="H73" s="65"/>
    </row>
    <row r="74" spans="3:8" x14ac:dyDescent="0.3">
      <c r="C74" s="63"/>
      <c r="D74" s="377"/>
      <c r="E74" s="377"/>
      <c r="F74" s="377"/>
      <c r="G74" s="377"/>
      <c r="H74" s="65"/>
    </row>
    <row r="75" spans="3:8" ht="15" thickBot="1" x14ac:dyDescent="0.35">
      <c r="C75" s="66"/>
      <c r="D75" s="376" t="s">
        <v>146</v>
      </c>
      <c r="E75" s="376"/>
      <c r="F75" s="376"/>
      <c r="G75" s="376"/>
      <c r="H75" s="68"/>
    </row>
  </sheetData>
  <mergeCells count="41">
    <mergeCell ref="D75:G75"/>
    <mergeCell ref="C68:E68"/>
    <mergeCell ref="C69:E69"/>
    <mergeCell ref="C70:E70"/>
    <mergeCell ref="C71:E71"/>
    <mergeCell ref="D73:G74"/>
    <mergeCell ref="C63:E63"/>
    <mergeCell ref="C64:E64"/>
    <mergeCell ref="C65:E65"/>
    <mergeCell ref="C66:E66"/>
    <mergeCell ref="C67:E67"/>
    <mergeCell ref="C53:D53"/>
    <mergeCell ref="C54:D54"/>
    <mergeCell ref="D56:G58"/>
    <mergeCell ref="C61:H61"/>
    <mergeCell ref="C62:H62"/>
    <mergeCell ref="C48:D48"/>
    <mergeCell ref="C49:D49"/>
    <mergeCell ref="C50:D50"/>
    <mergeCell ref="C51:D51"/>
    <mergeCell ref="C52:D52"/>
    <mergeCell ref="C42:H42"/>
    <mergeCell ref="C43:H43"/>
    <mergeCell ref="C44:H44"/>
    <mergeCell ref="C45:H45"/>
    <mergeCell ref="C46:D47"/>
    <mergeCell ref="E46:G46"/>
    <mergeCell ref="I2:I3"/>
    <mergeCell ref="B1:I1"/>
    <mergeCell ref="C40:E40"/>
    <mergeCell ref="B30:G30"/>
    <mergeCell ref="C37:E37"/>
    <mergeCell ref="C38:E38"/>
    <mergeCell ref="H2:H3"/>
    <mergeCell ref="C39:E39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H30" sqref="H30:H33"/>
    </sheetView>
  </sheetViews>
  <sheetFormatPr defaultRowHeight="14.4" x14ac:dyDescent="0.3"/>
  <cols>
    <col min="2" max="2" width="21.33203125" customWidth="1"/>
    <col min="3" max="3" width="24.109375" customWidth="1"/>
    <col min="4" max="4" width="25.33203125" customWidth="1"/>
    <col min="5" max="5" width="30.6640625" bestFit="1" customWidth="1"/>
    <col min="6" max="6" width="32.88671875" bestFit="1" customWidth="1"/>
    <col min="7" max="7" width="32" customWidth="1"/>
    <col min="8" max="8" width="26.5546875" customWidth="1"/>
  </cols>
  <sheetData>
    <row r="1" spans="1:8" ht="18.75" thickBot="1" x14ac:dyDescent="0.3">
      <c r="A1" s="418" t="s">
        <v>73</v>
      </c>
      <c r="B1" s="419"/>
      <c r="C1" s="419"/>
      <c r="D1" s="419"/>
      <c r="E1" s="419"/>
      <c r="F1" s="419"/>
      <c r="G1" s="419"/>
      <c r="H1" s="420"/>
    </row>
    <row r="2" spans="1:8" ht="15" customHeight="1" x14ac:dyDescent="0.3">
      <c r="A2" s="408" t="s">
        <v>0</v>
      </c>
      <c r="B2" s="421" t="s">
        <v>34</v>
      </c>
      <c r="C2" s="427" t="s">
        <v>208</v>
      </c>
      <c r="D2" s="423" t="s">
        <v>86</v>
      </c>
      <c r="E2" s="412" t="s">
        <v>87</v>
      </c>
      <c r="F2" s="412" t="s">
        <v>76</v>
      </c>
      <c r="G2" s="412" t="s">
        <v>77</v>
      </c>
      <c r="H2" s="423" t="s">
        <v>54</v>
      </c>
    </row>
    <row r="3" spans="1:8" ht="15" thickBot="1" x14ac:dyDescent="0.35">
      <c r="A3" s="409"/>
      <c r="B3" s="422"/>
      <c r="C3" s="428"/>
      <c r="D3" s="424"/>
      <c r="E3" s="413"/>
      <c r="F3" s="425"/>
      <c r="G3" s="413"/>
      <c r="H3" s="426"/>
    </row>
    <row r="4" spans="1:8" ht="15" x14ac:dyDescent="0.25">
      <c r="A4" s="1">
        <v>2016</v>
      </c>
      <c r="B4" s="54">
        <f>'Input Assumptions'!E19</f>
        <v>9007.8559999999998</v>
      </c>
      <c r="C4" s="127">
        <f>B4*$E$38</f>
        <v>51.769287356322799</v>
      </c>
      <c r="D4" s="128">
        <f>C4*76.75%</f>
        <v>39.732928045977744</v>
      </c>
      <c r="E4" s="140">
        <f>C4*23.25%</f>
        <v>12.036359310345052</v>
      </c>
      <c r="F4" s="139">
        <f>D4*$E$40+E4*$E$41</f>
        <v>1247.7314498343169</v>
      </c>
      <c r="G4" s="123">
        <f>F4*365</f>
        <v>455421.97918952565</v>
      </c>
      <c r="H4" s="112">
        <f>G4/(1+$E$39)^(A4-$A$4)</f>
        <v>455421.97918952565</v>
      </c>
    </row>
    <row r="5" spans="1:8" ht="15" x14ac:dyDescent="0.25">
      <c r="A5" s="2">
        <v>2017</v>
      </c>
      <c r="B5" s="53">
        <f>'Input Assumptions'!E20</f>
        <v>9151.9816959999989</v>
      </c>
      <c r="C5" s="129">
        <f t="shared" ref="C5:C28" si="0">B5*$E$38</f>
        <v>52.597595954023959</v>
      </c>
      <c r="D5" s="130">
        <f t="shared" ref="D5:D28" si="1">C5*76.75%</f>
        <v>40.368654894713387</v>
      </c>
      <c r="E5" s="141">
        <f t="shared" ref="E5:E28" si="2">C5*23.25%</f>
        <v>12.228941059310571</v>
      </c>
      <c r="F5" s="135">
        <f t="shared" ref="F5:F28" si="3">D5*$E$40+E5*$E$41</f>
        <v>1267.695153031666</v>
      </c>
      <c r="G5" s="125">
        <f t="shared" ref="G5:G28" si="4">F5*365</f>
        <v>462708.73085655808</v>
      </c>
      <c r="H5" s="112">
        <f t="shared" ref="H5:H28" si="5">G5/(1+$E$39)^(A5-$A$4)</f>
        <v>432438.06622108229</v>
      </c>
    </row>
    <row r="6" spans="1:8" ht="15" x14ac:dyDescent="0.25">
      <c r="A6" s="2">
        <v>2018</v>
      </c>
      <c r="B6" s="53">
        <f>'Input Assumptions'!E21</f>
        <v>9298.413403135999</v>
      </c>
      <c r="C6" s="129">
        <f t="shared" si="0"/>
        <v>53.439157489288341</v>
      </c>
      <c r="D6" s="130">
        <f t="shared" si="1"/>
        <v>41.014553373028797</v>
      </c>
      <c r="E6" s="141">
        <f t="shared" si="2"/>
        <v>12.424604116259539</v>
      </c>
      <c r="F6" s="135">
        <f t="shared" si="3"/>
        <v>1287.9782754801724</v>
      </c>
      <c r="G6" s="125">
        <f t="shared" si="4"/>
        <v>470112.07055026293</v>
      </c>
      <c r="H6" s="112">
        <f t="shared" si="5"/>
        <v>410614.08904730796</v>
      </c>
    </row>
    <row r="7" spans="1:8" ht="15" x14ac:dyDescent="0.25">
      <c r="A7" s="2">
        <v>2019</v>
      </c>
      <c r="B7" s="53">
        <f>'Input Assumptions'!E22</f>
        <v>9447.1880175861752</v>
      </c>
      <c r="C7" s="129">
        <f t="shared" si="0"/>
        <v>54.294184009116954</v>
      </c>
      <c r="D7" s="130">
        <f t="shared" si="1"/>
        <v>41.670786226997258</v>
      </c>
      <c r="E7" s="141">
        <f t="shared" si="2"/>
        <v>12.623397782119692</v>
      </c>
      <c r="F7" s="135">
        <f t="shared" si="3"/>
        <v>1308.5859278878552</v>
      </c>
      <c r="G7" s="125">
        <f t="shared" si="4"/>
        <v>477633.86367906712</v>
      </c>
      <c r="H7" s="112">
        <f t="shared" si="5"/>
        <v>389891.50885239709</v>
      </c>
    </row>
    <row r="8" spans="1:8" ht="15" x14ac:dyDescent="0.25">
      <c r="A8" s="2">
        <v>2020</v>
      </c>
      <c r="B8" s="53">
        <f>'Input Assumptions'!E23</f>
        <v>9598.3430258675562</v>
      </c>
      <c r="C8" s="129">
        <f t="shared" si="0"/>
        <v>55.162890953262838</v>
      </c>
      <c r="D8" s="130">
        <f t="shared" si="1"/>
        <v>42.337518806629227</v>
      </c>
      <c r="E8" s="141">
        <f t="shared" si="2"/>
        <v>12.82537214663361</v>
      </c>
      <c r="F8" s="135">
        <f t="shared" si="3"/>
        <v>1329.5233027340614</v>
      </c>
      <c r="G8" s="125">
        <f t="shared" si="4"/>
        <v>485276.00549793243</v>
      </c>
      <c r="H8" s="112">
        <f t="shared" si="5"/>
        <v>370214.74111592118</v>
      </c>
    </row>
    <row r="9" spans="1:8" ht="15" x14ac:dyDescent="0.25">
      <c r="A9" s="2">
        <v>2021</v>
      </c>
      <c r="B9" s="53">
        <f>'Input Assumptions'!E24</f>
        <v>9751.9165142814363</v>
      </c>
      <c r="C9" s="129">
        <f t="shared" si="0"/>
        <v>56.045497208515044</v>
      </c>
      <c r="D9" s="130">
        <f t="shared" si="1"/>
        <v>43.014919107535292</v>
      </c>
      <c r="E9" s="141">
        <f t="shared" si="2"/>
        <v>13.030578100979749</v>
      </c>
      <c r="F9" s="135">
        <f t="shared" si="3"/>
        <v>1350.7956755778062</v>
      </c>
      <c r="G9" s="125">
        <f t="shared" si="4"/>
        <v>493040.42158589925</v>
      </c>
      <c r="H9" s="112">
        <f t="shared" si="5"/>
        <v>351531.00651754747</v>
      </c>
    </row>
    <row r="10" spans="1:8" ht="15" x14ac:dyDescent="0.25">
      <c r="A10" s="2">
        <v>2022</v>
      </c>
      <c r="B10" s="53">
        <f>'Input Assumptions'!E25</f>
        <v>9907.9471785099395</v>
      </c>
      <c r="C10" s="129">
        <f t="shared" si="0"/>
        <v>56.942225163851283</v>
      </c>
      <c r="D10" s="130">
        <f t="shared" si="1"/>
        <v>43.703157813255856</v>
      </c>
      <c r="E10" s="141">
        <f t="shared" si="2"/>
        <v>13.239067350595423</v>
      </c>
      <c r="F10" s="135">
        <f t="shared" si="3"/>
        <v>1372.4084063870509</v>
      </c>
      <c r="G10" s="125">
        <f t="shared" si="4"/>
        <v>500929.06833127362</v>
      </c>
      <c r="H10" s="112">
        <f t="shared" si="5"/>
        <v>333790.18936619465</v>
      </c>
    </row>
    <row r="11" spans="1:8" ht="15" x14ac:dyDescent="0.25">
      <c r="A11" s="2">
        <v>2023</v>
      </c>
      <c r="B11" s="53">
        <f>'Input Assumptions'!E26</f>
        <v>10066.474333366099</v>
      </c>
      <c r="C11" s="129">
        <f t="shared" si="0"/>
        <v>57.853300766472906</v>
      </c>
      <c r="D11" s="130">
        <f t="shared" si="1"/>
        <v>44.402408338267954</v>
      </c>
      <c r="E11" s="141">
        <f t="shared" si="2"/>
        <v>13.450892428204952</v>
      </c>
      <c r="F11" s="135">
        <f t="shared" si="3"/>
        <v>1394.366940889244</v>
      </c>
      <c r="G11" s="125">
        <f t="shared" si="4"/>
        <v>508943.93342457409</v>
      </c>
      <c r="H11" s="112">
        <f t="shared" si="5"/>
        <v>316944.70317388204</v>
      </c>
    </row>
    <row r="12" spans="1:8" ht="15" x14ac:dyDescent="0.25">
      <c r="A12" s="2">
        <v>2024</v>
      </c>
      <c r="B12" s="53">
        <f>'Input Assumptions'!E27</f>
        <v>10227.537922699956</v>
      </c>
      <c r="C12" s="129">
        <f t="shared" si="0"/>
        <v>58.77895357873647</v>
      </c>
      <c r="D12" s="130">
        <f t="shared" si="1"/>
        <v>45.11284687168024</v>
      </c>
      <c r="E12" s="141">
        <f t="shared" si="2"/>
        <v>13.66610670705623</v>
      </c>
      <c r="F12" s="135">
        <f t="shared" si="3"/>
        <v>1416.6768119434719</v>
      </c>
      <c r="G12" s="125">
        <f t="shared" si="4"/>
        <v>517087.03635936725</v>
      </c>
      <c r="H12" s="112">
        <f t="shared" si="5"/>
        <v>300949.36301370483</v>
      </c>
    </row>
    <row r="13" spans="1:8" ht="15" x14ac:dyDescent="0.25">
      <c r="A13" s="2">
        <v>2025</v>
      </c>
      <c r="B13" s="53">
        <f>'Input Assumptions'!E28</f>
        <v>10391.178529463155</v>
      </c>
      <c r="C13" s="129">
        <f t="shared" si="0"/>
        <v>59.719416835996256</v>
      </c>
      <c r="D13" s="130">
        <f t="shared" si="1"/>
        <v>45.834652421627126</v>
      </c>
      <c r="E13" s="141">
        <f t="shared" si="2"/>
        <v>13.88476441436913</v>
      </c>
      <c r="F13" s="135">
        <f t="shared" si="3"/>
        <v>1439.3436409345675</v>
      </c>
      <c r="G13" s="125">
        <f t="shared" si="4"/>
        <v>525360.42894111713</v>
      </c>
      <c r="H13" s="112">
        <f t="shared" si="5"/>
        <v>285761.26431955519</v>
      </c>
    </row>
    <row r="14" spans="1:8" ht="15" x14ac:dyDescent="0.25">
      <c r="A14" s="2">
        <v>2026</v>
      </c>
      <c r="B14" s="53">
        <f>'Input Assumptions'!E29</f>
        <v>10557.437385934565</v>
      </c>
      <c r="C14" s="129">
        <f t="shared" si="0"/>
        <v>60.674927505372189</v>
      </c>
      <c r="D14" s="130">
        <f t="shared" si="1"/>
        <v>46.568006860373153</v>
      </c>
      <c r="E14" s="141">
        <f t="shared" si="2"/>
        <v>14.106920644999034</v>
      </c>
      <c r="F14" s="135">
        <f t="shared" si="3"/>
        <v>1462.3731391895203</v>
      </c>
      <c r="G14" s="125">
        <f t="shared" si="4"/>
        <v>533766.19580417487</v>
      </c>
      <c r="H14" s="112">
        <f t="shared" si="5"/>
        <v>271339.6678024935</v>
      </c>
    </row>
    <row r="15" spans="1:8" ht="15" x14ac:dyDescent="0.25">
      <c r="A15" s="2">
        <v>2027</v>
      </c>
      <c r="B15" s="53">
        <f>'Input Assumptions'!E30</f>
        <v>10726.356384109518</v>
      </c>
      <c r="C15" s="129">
        <f t="shared" si="0"/>
        <v>61.645726345458144</v>
      </c>
      <c r="D15" s="130">
        <f t="shared" si="1"/>
        <v>47.313094970139126</v>
      </c>
      <c r="E15" s="141">
        <f t="shared" si="2"/>
        <v>14.33263137531902</v>
      </c>
      <c r="F15" s="135">
        <f t="shared" si="3"/>
        <v>1485.7711094165527</v>
      </c>
      <c r="G15" s="125">
        <f t="shared" si="4"/>
        <v>542306.45493704174</v>
      </c>
      <c r="H15" s="112">
        <f t="shared" si="5"/>
        <v>257645.89017507792</v>
      </c>
    </row>
    <row r="16" spans="1:8" ht="15" x14ac:dyDescent="0.25">
      <c r="A16" s="2">
        <v>2028</v>
      </c>
      <c r="B16" s="53">
        <f>'Input Assumptions'!E31</f>
        <v>10897.978086255271</v>
      </c>
      <c r="C16" s="129">
        <f t="shared" si="0"/>
        <v>62.632057966985478</v>
      </c>
      <c r="D16" s="130">
        <f t="shared" si="1"/>
        <v>48.070104489661354</v>
      </c>
      <c r="E16" s="141">
        <f t="shared" si="2"/>
        <v>14.561953477324124</v>
      </c>
      <c r="F16" s="135">
        <f t="shared" si="3"/>
        <v>1509.5434471672177</v>
      </c>
      <c r="G16" s="125">
        <f t="shared" si="4"/>
        <v>550983.35821603448</v>
      </c>
      <c r="H16" s="112">
        <f t="shared" si="5"/>
        <v>244643.20039054134</v>
      </c>
    </row>
    <row r="17" spans="1:8" ht="15" x14ac:dyDescent="0.25">
      <c r="A17" s="2">
        <v>2029</v>
      </c>
      <c r="B17" s="53">
        <f>'Input Assumptions'!E32</f>
        <v>11072.345735635354</v>
      </c>
      <c r="C17" s="129">
        <f t="shared" si="0"/>
        <v>63.634170894457235</v>
      </c>
      <c r="D17" s="130">
        <f t="shared" si="1"/>
        <v>48.839226161495922</v>
      </c>
      <c r="E17" s="141">
        <f t="shared" si="2"/>
        <v>14.794944732961309</v>
      </c>
      <c r="F17" s="135">
        <f t="shared" si="3"/>
        <v>1533.6961423218927</v>
      </c>
      <c r="G17" s="125">
        <f t="shared" si="4"/>
        <v>559799.09194749082</v>
      </c>
      <c r="H17" s="112">
        <f t="shared" si="5"/>
        <v>232296.72111849522</v>
      </c>
    </row>
    <row r="18" spans="1:8" ht="15" x14ac:dyDescent="0.25">
      <c r="A18" s="2">
        <v>2030</v>
      </c>
      <c r="B18" s="53">
        <f>'Input Assumptions'!E33</f>
        <v>11249.50326740552</v>
      </c>
      <c r="C18" s="129">
        <f t="shared" si="0"/>
        <v>64.652317628768557</v>
      </c>
      <c r="D18" s="130">
        <f t="shared" si="1"/>
        <v>49.620653780079863</v>
      </c>
      <c r="E18" s="141">
        <f t="shared" si="2"/>
        <v>15.031663848688691</v>
      </c>
      <c r="F18" s="135">
        <f t="shared" si="3"/>
        <v>1558.2352805990433</v>
      </c>
      <c r="G18" s="125">
        <f t="shared" si="4"/>
        <v>568755.87741865078</v>
      </c>
      <c r="H18" s="112">
        <f t="shared" si="5"/>
        <v>220573.33519288898</v>
      </c>
    </row>
    <row r="19" spans="1:8" ht="15" x14ac:dyDescent="0.25">
      <c r="A19" s="2">
        <v>2031</v>
      </c>
      <c r="B19" s="53">
        <f>'Input Assumptions'!E34</f>
        <v>11429.495319684007</v>
      </c>
      <c r="C19" s="129">
        <f t="shared" si="0"/>
        <v>65.686754710828851</v>
      </c>
      <c r="D19" s="130">
        <f t="shared" si="1"/>
        <v>50.41458424056114</v>
      </c>
      <c r="E19" s="141">
        <f t="shared" si="2"/>
        <v>15.272170470267708</v>
      </c>
      <c r="F19" s="135">
        <f t="shared" si="3"/>
        <v>1583.1670450886279</v>
      </c>
      <c r="G19" s="125">
        <f t="shared" si="4"/>
        <v>577855.97145734914</v>
      </c>
      <c r="H19" s="112">
        <f t="shared" si="5"/>
        <v>209441.59678128519</v>
      </c>
    </row>
    <row r="20" spans="1:8" ht="15" x14ac:dyDescent="0.25">
      <c r="A20" s="2">
        <v>2032</v>
      </c>
      <c r="B20" s="53">
        <f>'Input Assumptions'!E35</f>
        <v>11612.367244798952</v>
      </c>
      <c r="C20" s="129">
        <f t="shared" si="0"/>
        <v>66.737742786202105</v>
      </c>
      <c r="D20" s="130">
        <f t="shared" si="1"/>
        <v>51.221217588410113</v>
      </c>
      <c r="E20" s="141">
        <f t="shared" si="2"/>
        <v>15.51652519779199</v>
      </c>
      <c r="F20" s="135">
        <f t="shared" si="3"/>
        <v>1608.4977178100457</v>
      </c>
      <c r="G20" s="125">
        <f t="shared" si="4"/>
        <v>587101.66700066673</v>
      </c>
      <c r="H20" s="112">
        <f t="shared" si="5"/>
        <v>198871.64703718299</v>
      </c>
    </row>
    <row r="21" spans="1:8" ht="15" x14ac:dyDescent="0.25">
      <c r="A21" s="2">
        <v>2033</v>
      </c>
      <c r="B21" s="53">
        <f>'Input Assumptions'!E36</f>
        <v>11798.165120715736</v>
      </c>
      <c r="C21" s="129">
        <f t="shared" si="0"/>
        <v>67.805546670781354</v>
      </c>
      <c r="D21" s="130">
        <f t="shared" si="1"/>
        <v>52.040757069824686</v>
      </c>
      <c r="E21" s="141">
        <f t="shared" si="2"/>
        <v>15.764789600956666</v>
      </c>
      <c r="F21" s="135">
        <f t="shared" si="3"/>
        <v>1634.2336812950068</v>
      </c>
      <c r="G21" s="125">
        <f t="shared" si="4"/>
        <v>596495.29367267748</v>
      </c>
      <c r="H21" s="112">
        <f t="shared" si="5"/>
        <v>188835.13400913824</v>
      </c>
    </row>
    <row r="22" spans="1:8" ht="15" x14ac:dyDescent="0.25">
      <c r="A22" s="2">
        <v>2034</v>
      </c>
      <c r="B22" s="53">
        <f>'Input Assumptions'!E37</f>
        <v>11986.935762647186</v>
      </c>
      <c r="C22" s="129">
        <f t="shared" si="0"/>
        <v>68.890435417513842</v>
      </c>
      <c r="D22" s="130">
        <f t="shared" si="1"/>
        <v>52.87340918294187</v>
      </c>
      <c r="E22" s="141">
        <f t="shared" si="2"/>
        <v>16.017026234571969</v>
      </c>
      <c r="F22" s="135">
        <f t="shared" si="3"/>
        <v>1660.3814201957266</v>
      </c>
      <c r="G22" s="125">
        <f t="shared" si="4"/>
        <v>606039.21837144019</v>
      </c>
      <c r="H22" s="112">
        <f t="shared" si="5"/>
        <v>179305.13659185459</v>
      </c>
    </row>
    <row r="23" spans="1:8" ht="15" x14ac:dyDescent="0.25">
      <c r="A23" s="2">
        <v>2035</v>
      </c>
      <c r="B23" s="53">
        <f>'Input Assumptions'!E38</f>
        <v>12178.726734849542</v>
      </c>
      <c r="C23" s="129">
        <f t="shared" si="0"/>
        <v>69.992682384194069</v>
      </c>
      <c r="D23" s="130">
        <f t="shared" si="1"/>
        <v>53.719383729868944</v>
      </c>
      <c r="E23" s="141">
        <f t="shared" si="2"/>
        <v>16.273298654325121</v>
      </c>
      <c r="F23" s="135">
        <f t="shared" si="3"/>
        <v>1686.9475229188583</v>
      </c>
      <c r="G23" s="125">
        <f t="shared" si="4"/>
        <v>615735.84586538328</v>
      </c>
      <c r="H23" s="112">
        <f t="shared" si="5"/>
        <v>170256.09231525633</v>
      </c>
    </row>
    <row r="24" spans="1:8" ht="15" x14ac:dyDescent="0.25">
      <c r="A24" s="2">
        <v>2036</v>
      </c>
      <c r="B24" s="53">
        <f>'Input Assumptions'!E39</f>
        <v>12373.586362607135</v>
      </c>
      <c r="C24" s="129">
        <f t="shared" si="0"/>
        <v>71.112565302341181</v>
      </c>
      <c r="D24" s="130">
        <f t="shared" si="1"/>
        <v>54.578893869546853</v>
      </c>
      <c r="E24" s="141">
        <f t="shared" si="2"/>
        <v>16.533671432794325</v>
      </c>
      <c r="F24" s="135">
        <f t="shared" si="3"/>
        <v>1713.9386832855603</v>
      </c>
      <c r="G24" s="125">
        <f t="shared" si="4"/>
        <v>625587.61939922953</v>
      </c>
      <c r="H24" s="112">
        <f t="shared" si="5"/>
        <v>161663.72877785092</v>
      </c>
    </row>
    <row r="25" spans="1:8" ht="15" x14ac:dyDescent="0.25">
      <c r="A25" s="2">
        <v>2037</v>
      </c>
      <c r="B25" s="53">
        <f>'Input Assumptions'!E40</f>
        <v>12571.56374440885</v>
      </c>
      <c r="C25" s="129">
        <f t="shared" si="0"/>
        <v>72.250366347178641</v>
      </c>
      <c r="D25" s="130">
        <f t="shared" si="1"/>
        <v>55.452156171459606</v>
      </c>
      <c r="E25" s="141">
        <f t="shared" si="2"/>
        <v>16.798210175719035</v>
      </c>
      <c r="F25" s="135">
        <f t="shared" si="3"/>
        <v>1741.3617022181293</v>
      </c>
      <c r="G25" s="125">
        <f t="shared" si="4"/>
        <v>635597.02130961721</v>
      </c>
      <c r="H25" s="112">
        <f t="shared" si="5"/>
        <v>153504.99854046403</v>
      </c>
    </row>
    <row r="26" spans="1:8" ht="15" x14ac:dyDescent="0.25">
      <c r="A26" s="2">
        <v>2038</v>
      </c>
      <c r="B26" s="53">
        <f>'Input Assumptions'!E41</f>
        <v>12772.70876431939</v>
      </c>
      <c r="C26" s="129">
        <f t="shared" si="0"/>
        <v>73.406372208733487</v>
      </c>
      <c r="D26" s="130">
        <f t="shared" si="1"/>
        <v>56.339390670202945</v>
      </c>
      <c r="E26" s="141">
        <f t="shared" si="2"/>
        <v>17.066981538530538</v>
      </c>
      <c r="F26" s="135">
        <f t="shared" si="3"/>
        <v>1769.2234894536191</v>
      </c>
      <c r="G26" s="125">
        <f t="shared" si="4"/>
        <v>645766.57365057094</v>
      </c>
      <c r="H26" s="112">
        <f t="shared" si="5"/>
        <v>145758.01730571163</v>
      </c>
    </row>
    <row r="27" spans="1:8" ht="15" x14ac:dyDescent="0.25">
      <c r="A27" s="2">
        <v>2039</v>
      </c>
      <c r="B27" s="53">
        <f>'Input Assumptions'!E42</f>
        <v>12977.072104548501</v>
      </c>
      <c r="C27" s="129">
        <f t="shared" si="0"/>
        <v>74.580874164073222</v>
      </c>
      <c r="D27" s="130">
        <f t="shared" si="1"/>
        <v>57.240820920926197</v>
      </c>
      <c r="E27" s="141">
        <f t="shared" si="2"/>
        <v>17.340053243147025</v>
      </c>
      <c r="F27" s="135">
        <f t="shared" si="3"/>
        <v>1797.5310652848771</v>
      </c>
      <c r="G27" s="125">
        <f t="shared" si="4"/>
        <v>656098.83882898011</v>
      </c>
      <c r="H27" s="112">
        <f t="shared" si="5"/>
        <v>138402.005217386</v>
      </c>
    </row>
    <row r="28" spans="1:8" ht="15.75" thickBot="1" x14ac:dyDescent="0.3">
      <c r="A28" s="3">
        <v>2040</v>
      </c>
      <c r="B28" s="55">
        <f>'Input Assumptions'!E43</f>
        <v>13184.705258221278</v>
      </c>
      <c r="C28" s="131">
        <f t="shared" si="0"/>
        <v>75.774168150698401</v>
      </c>
      <c r="D28" s="132">
        <f t="shared" si="1"/>
        <v>58.156674055661021</v>
      </c>
      <c r="E28" s="142">
        <f t="shared" si="2"/>
        <v>17.61749409503738</v>
      </c>
      <c r="F28" s="136">
        <f t="shared" si="3"/>
        <v>1826.2915623294352</v>
      </c>
      <c r="G28" s="126">
        <f t="shared" si="4"/>
        <v>666596.42025024386</v>
      </c>
      <c r="H28" s="112">
        <f t="shared" si="5"/>
        <v>131417.23112230297</v>
      </c>
    </row>
    <row r="29" spans="1:8" ht="15.75" thickBot="1" x14ac:dyDescent="0.3">
      <c r="C29" s="113"/>
      <c r="D29" s="113"/>
      <c r="E29" s="113"/>
      <c r="F29" s="113"/>
      <c r="G29" s="133" t="s">
        <v>32</v>
      </c>
      <c r="H29" s="118">
        <f>SUM(H4:H28)</f>
        <v>6551511.3131950488</v>
      </c>
    </row>
    <row r="30" spans="1:8" ht="15" x14ac:dyDescent="0.25">
      <c r="A30" s="406" t="s">
        <v>1</v>
      </c>
      <c r="B30" s="406"/>
      <c r="C30" s="406"/>
      <c r="D30" s="406"/>
      <c r="E30" s="406"/>
      <c r="F30" s="406"/>
      <c r="H30" s="237"/>
    </row>
    <row r="31" spans="1:8" ht="15" x14ac:dyDescent="0.25">
      <c r="H31" s="113"/>
    </row>
    <row r="32" spans="1:8" ht="15" x14ac:dyDescent="0.25">
      <c r="B32" t="s">
        <v>20</v>
      </c>
      <c r="H32" s="113"/>
    </row>
    <row r="37" spans="2:7" x14ac:dyDescent="0.3">
      <c r="B37" s="405" t="s">
        <v>35</v>
      </c>
      <c r="C37" s="405"/>
      <c r="D37" s="405"/>
      <c r="E37" s="45">
        <v>13</v>
      </c>
    </row>
    <row r="38" spans="2:7" x14ac:dyDescent="0.3">
      <c r="B38" s="405" t="s">
        <v>36</v>
      </c>
      <c r="C38" s="405"/>
      <c r="D38" s="405"/>
      <c r="E38" s="110">
        <f>'Input Assumptions'!G12</f>
        <v>5.7471264367817158E-3</v>
      </c>
    </row>
    <row r="39" spans="2:7" x14ac:dyDescent="0.3">
      <c r="B39" s="405" t="s">
        <v>31</v>
      </c>
      <c r="C39" s="405"/>
      <c r="D39" s="405"/>
      <c r="E39" s="44">
        <v>7.0000000000000007E-2</v>
      </c>
    </row>
    <row r="40" spans="2:7" x14ac:dyDescent="0.3">
      <c r="B40" s="405" t="s">
        <v>83</v>
      </c>
      <c r="C40" s="405"/>
      <c r="D40" s="405"/>
      <c r="E40" s="174">
        <f>'Input Assumptions'!I19</f>
        <v>22.44</v>
      </c>
    </row>
    <row r="41" spans="2:7" x14ac:dyDescent="0.3">
      <c r="B41" s="405" t="s">
        <v>37</v>
      </c>
      <c r="C41" s="405"/>
      <c r="D41" s="405"/>
      <c r="E41" s="56">
        <f>'Input Assumptions'!L19</f>
        <v>29.587397260273971</v>
      </c>
    </row>
    <row r="42" spans="2:7" x14ac:dyDescent="0.3">
      <c r="B42" s="405" t="s">
        <v>56</v>
      </c>
      <c r="C42" s="405"/>
      <c r="D42" s="405"/>
      <c r="E42" s="45" t="s">
        <v>57</v>
      </c>
    </row>
    <row r="43" spans="2:7" x14ac:dyDescent="0.3">
      <c r="B43" s="405" t="s">
        <v>58</v>
      </c>
      <c r="C43" s="405"/>
      <c r="D43" s="405"/>
      <c r="E43" s="45" t="s">
        <v>59</v>
      </c>
    </row>
    <row r="44" spans="2:7" x14ac:dyDescent="0.3">
      <c r="B44" s="405" t="s">
        <v>60</v>
      </c>
      <c r="C44" s="405"/>
      <c r="D44" s="405"/>
      <c r="E44" s="62">
        <v>0.5</v>
      </c>
    </row>
    <row r="45" spans="2:7" ht="15" thickBot="1" x14ac:dyDescent="0.35"/>
    <row r="46" spans="2:7" ht="18" thickBot="1" x14ac:dyDescent="0.35">
      <c r="B46" s="356" t="s">
        <v>120</v>
      </c>
      <c r="C46" s="357"/>
      <c r="D46" s="357"/>
      <c r="E46" s="357"/>
      <c r="F46" s="357"/>
      <c r="G46" s="358"/>
    </row>
    <row r="47" spans="2:7" ht="15" thickBot="1" x14ac:dyDescent="0.35">
      <c r="B47" s="370" t="s">
        <v>21</v>
      </c>
      <c r="C47" s="371"/>
      <c r="D47" s="371"/>
      <c r="E47" s="371"/>
      <c r="F47" s="371"/>
      <c r="G47" s="372"/>
    </row>
    <row r="48" spans="2:7" ht="15" thickBot="1" x14ac:dyDescent="0.35">
      <c r="B48" s="373" t="s">
        <v>22</v>
      </c>
      <c r="C48" s="374"/>
      <c r="D48" s="375"/>
      <c r="E48" s="373" t="s">
        <v>23</v>
      </c>
      <c r="F48" s="374"/>
      <c r="G48" s="375"/>
    </row>
    <row r="49" spans="2:12" ht="16.2" x14ac:dyDescent="0.3">
      <c r="B49" s="27" t="s">
        <v>24</v>
      </c>
      <c r="C49" s="28">
        <v>20.399999999999999</v>
      </c>
      <c r="D49" s="29" t="s">
        <v>25</v>
      </c>
      <c r="E49" s="30" t="s">
        <v>24</v>
      </c>
      <c r="F49" s="28">
        <v>27.2</v>
      </c>
      <c r="G49" s="31" t="s">
        <v>25</v>
      </c>
      <c r="H49" s="378" t="s">
        <v>206</v>
      </c>
      <c r="I49" s="379"/>
      <c r="J49" s="379"/>
      <c r="K49" s="379"/>
      <c r="L49" s="380"/>
    </row>
    <row r="50" spans="2:12" x14ac:dyDescent="0.3">
      <c r="B50" s="27" t="s">
        <v>26</v>
      </c>
      <c r="C50" s="8">
        <v>1.1000000000000001</v>
      </c>
      <c r="D50" s="32"/>
      <c r="E50" s="30" t="s">
        <v>26</v>
      </c>
      <c r="F50" s="8">
        <v>1.05</v>
      </c>
      <c r="G50" s="33"/>
      <c r="H50" s="381"/>
      <c r="I50" s="382"/>
      <c r="J50" s="382"/>
      <c r="K50" s="382"/>
      <c r="L50" s="383"/>
    </row>
    <row r="51" spans="2:12" ht="16.2" x14ac:dyDescent="0.3">
      <c r="B51" s="34"/>
      <c r="C51" s="35"/>
      <c r="D51" s="33"/>
      <c r="E51" s="27" t="s">
        <v>27</v>
      </c>
      <c r="F51" s="36">
        <f>0.03/8760 * 300000</f>
        <v>1.0273972602739725</v>
      </c>
      <c r="G51" s="33"/>
      <c r="H51" s="381"/>
      <c r="I51" s="382"/>
      <c r="J51" s="382"/>
      <c r="K51" s="382"/>
      <c r="L51" s="383"/>
    </row>
    <row r="52" spans="2:12" ht="15" thickBot="1" x14ac:dyDescent="0.35">
      <c r="B52" s="37" t="s">
        <v>28</v>
      </c>
      <c r="C52" s="38">
        <f>C49*C50</f>
        <v>22.44</v>
      </c>
      <c r="D52" s="39" t="s">
        <v>29</v>
      </c>
      <c r="E52" s="37" t="s">
        <v>28</v>
      </c>
      <c r="F52" s="40">
        <f>F49*F50+F51</f>
        <v>29.587397260273971</v>
      </c>
      <c r="G52" s="39" t="s">
        <v>29</v>
      </c>
      <c r="H52" s="384"/>
      <c r="I52" s="385"/>
      <c r="J52" s="385"/>
      <c r="K52" s="385"/>
      <c r="L52" s="386"/>
    </row>
  </sheetData>
  <mergeCells count="23">
    <mergeCell ref="B46:G46"/>
    <mergeCell ref="B47:G47"/>
    <mergeCell ref="B48:D48"/>
    <mergeCell ref="E48:G48"/>
    <mergeCell ref="H49:L52"/>
    <mergeCell ref="B42:D42"/>
    <mergeCell ref="B43:D43"/>
    <mergeCell ref="B44:D44"/>
    <mergeCell ref="H2:H3"/>
    <mergeCell ref="C2:C3"/>
    <mergeCell ref="B40:D40"/>
    <mergeCell ref="B41:D41"/>
    <mergeCell ref="A30:F30"/>
    <mergeCell ref="B38:D38"/>
    <mergeCell ref="B37:D37"/>
    <mergeCell ref="B39:D39"/>
    <mergeCell ref="A1:H1"/>
    <mergeCell ref="A2:A3"/>
    <mergeCell ref="B2:B3"/>
    <mergeCell ref="D2:D3"/>
    <mergeCell ref="E2:E3"/>
    <mergeCell ref="F2:F3"/>
    <mergeCell ref="G2:G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0"/>
  <sheetViews>
    <sheetView topLeftCell="H13" workbookViewId="0">
      <selection activeCell="J45" sqref="J45"/>
    </sheetView>
  </sheetViews>
  <sheetFormatPr defaultRowHeight="14.4" x14ac:dyDescent="0.3"/>
  <cols>
    <col min="1" max="1" width="3.5546875" customWidth="1"/>
    <col min="3" max="3" width="14" customWidth="1"/>
    <col min="4" max="4" width="20.5546875" bestFit="1" customWidth="1"/>
    <col min="5" max="5" width="21.5546875" bestFit="1" customWidth="1"/>
    <col min="6" max="6" width="30.6640625" bestFit="1" customWidth="1"/>
    <col min="7" max="7" width="32.88671875" bestFit="1" customWidth="1"/>
    <col min="8" max="8" width="39" customWidth="1"/>
    <col min="9" max="9" width="32.88671875" customWidth="1"/>
    <col min="10" max="10" width="28.6640625" customWidth="1"/>
    <col min="11" max="11" width="22.5546875" customWidth="1"/>
  </cols>
  <sheetData>
    <row r="1" spans="2:11" ht="18.75" thickBot="1" x14ac:dyDescent="0.3">
      <c r="B1" s="347" t="s">
        <v>202</v>
      </c>
      <c r="C1" s="348"/>
      <c r="D1" s="348"/>
      <c r="E1" s="348"/>
      <c r="F1" s="348"/>
      <c r="G1" s="348"/>
      <c r="H1" s="348"/>
      <c r="I1" s="348"/>
      <c r="J1" s="348"/>
      <c r="K1" s="349"/>
    </row>
    <row r="2" spans="2:11" s="197" customFormat="1" ht="51" x14ac:dyDescent="0.25">
      <c r="B2" s="240" t="s">
        <v>0</v>
      </c>
      <c r="C2" s="244" t="s">
        <v>33</v>
      </c>
      <c r="D2" s="244" t="s">
        <v>219</v>
      </c>
      <c r="E2" s="244" t="s">
        <v>85</v>
      </c>
      <c r="F2" s="245" t="s">
        <v>84</v>
      </c>
      <c r="G2" s="246" t="s">
        <v>74</v>
      </c>
      <c r="H2" s="246" t="s">
        <v>75</v>
      </c>
      <c r="I2" s="246" t="s">
        <v>61</v>
      </c>
      <c r="J2" s="246" t="s">
        <v>80</v>
      </c>
      <c r="K2" s="247" t="s">
        <v>92</v>
      </c>
    </row>
    <row r="3" spans="2:11" ht="15" x14ac:dyDescent="0.25">
      <c r="B3" s="248">
        <v>2016</v>
      </c>
      <c r="C3" s="242">
        <f>'Input Assumptions'!D19</f>
        <v>630549.91999999993</v>
      </c>
      <c r="D3" s="242">
        <f>C3*365</f>
        <v>230150720.79999998</v>
      </c>
      <c r="E3" s="243">
        <f t="shared" ref="E3:E27" si="0">C3*$F$32*76.75%</f>
        <v>308596.91088893329</v>
      </c>
      <c r="F3" s="243">
        <f t="shared" ref="F3:F27" si="1">C3*23.25%*$F$33</f>
        <v>161702.95060919999</v>
      </c>
      <c r="G3" s="243">
        <f>E3+F3</f>
        <v>470299.86149813328</v>
      </c>
      <c r="H3" s="243">
        <f>G3*365</f>
        <v>171659449.44681865</v>
      </c>
      <c r="I3" s="243">
        <f>H3*$F$34</f>
        <v>8239653.5734472955</v>
      </c>
      <c r="J3" s="243">
        <f t="shared" ref="J3:J27" si="2">I3/(1+$F$35)^(B3-$B$3)</f>
        <v>8239653.5734472955</v>
      </c>
      <c r="K3" s="249">
        <f t="shared" ref="K3:K27" si="3">I3/(1+3%)^(B3-$B$3)</f>
        <v>8239653.5734472955</v>
      </c>
    </row>
    <row r="4" spans="2:11" ht="15" x14ac:dyDescent="0.25">
      <c r="B4" s="248">
        <v>2017</v>
      </c>
      <c r="C4" s="242">
        <f>'Input Assumptions'!D20</f>
        <v>640638.71872</v>
      </c>
      <c r="D4" s="242">
        <f t="shared" ref="D4:D27" si="4">C4*365</f>
        <v>233833132.3328</v>
      </c>
      <c r="E4" s="243">
        <f t="shared" si="0"/>
        <v>313534.46146315627</v>
      </c>
      <c r="F4" s="243">
        <f t="shared" si="1"/>
        <v>164290.1978189472</v>
      </c>
      <c r="G4" s="243">
        <f t="shared" ref="G4:G27" si="5">E4+F4</f>
        <v>477824.65928210347</v>
      </c>
      <c r="H4" s="243">
        <f t="shared" ref="H4:H27" si="6">G4*365</f>
        <v>174406000.63796777</v>
      </c>
      <c r="I4" s="243">
        <f t="shared" ref="I4:I27" si="7">H4*$F$34</f>
        <v>8371488.0306224525</v>
      </c>
      <c r="J4" s="243">
        <f t="shared" si="2"/>
        <v>7823820.5893667778</v>
      </c>
      <c r="K4" s="249">
        <f t="shared" si="3"/>
        <v>8127658.282157721</v>
      </c>
    </row>
    <row r="5" spans="2:11" ht="15" x14ac:dyDescent="0.25">
      <c r="B5" s="248">
        <v>2018</v>
      </c>
      <c r="C5" s="242">
        <f>'Input Assumptions'!D21</f>
        <v>650888.93821952003</v>
      </c>
      <c r="D5" s="242">
        <f t="shared" si="4"/>
        <v>237574462.4501248</v>
      </c>
      <c r="E5" s="243">
        <f t="shared" si="0"/>
        <v>318551.01284656679</v>
      </c>
      <c r="F5" s="243">
        <f t="shared" si="1"/>
        <v>166918.84098405036</v>
      </c>
      <c r="G5" s="243">
        <f t="shared" si="5"/>
        <v>485469.85383061715</v>
      </c>
      <c r="H5" s="243">
        <f t="shared" si="6"/>
        <v>177196496.64817527</v>
      </c>
      <c r="I5" s="243">
        <f t="shared" si="7"/>
        <v>8505431.8391124122</v>
      </c>
      <c r="J5" s="243">
        <f t="shared" si="2"/>
        <v>7428973.5689688288</v>
      </c>
      <c r="K5" s="249">
        <f t="shared" si="3"/>
        <v>8017185.2569633452</v>
      </c>
    </row>
    <row r="6" spans="2:11" ht="15" x14ac:dyDescent="0.25">
      <c r="B6" s="248">
        <v>2019</v>
      </c>
      <c r="C6" s="242">
        <f>'Input Assumptions'!D22</f>
        <v>661303.16123103234</v>
      </c>
      <c r="D6" s="242">
        <f t="shared" si="4"/>
        <v>241375653.84932679</v>
      </c>
      <c r="E6" s="243">
        <f t="shared" si="0"/>
        <v>323647.82905211183</v>
      </c>
      <c r="F6" s="243">
        <f t="shared" si="1"/>
        <v>169589.54243979516</v>
      </c>
      <c r="G6" s="243">
        <f t="shared" si="5"/>
        <v>493237.37149190699</v>
      </c>
      <c r="H6" s="243">
        <f t="shared" si="6"/>
        <v>180031640.59454605</v>
      </c>
      <c r="I6" s="243">
        <f t="shared" si="7"/>
        <v>8641518.748538211</v>
      </c>
      <c r="J6" s="243">
        <f t="shared" si="2"/>
        <v>7054053.4075442329</v>
      </c>
      <c r="K6" s="249">
        <f t="shared" si="3"/>
        <v>7908213.8068686975</v>
      </c>
    </row>
    <row r="7" spans="2:11" ht="15" x14ac:dyDescent="0.25">
      <c r="B7" s="248">
        <v>2020</v>
      </c>
      <c r="C7" s="242">
        <f>'Input Assumptions'!D23</f>
        <v>671884.01181072893</v>
      </c>
      <c r="D7" s="242">
        <f t="shared" si="4"/>
        <v>245237664.31091607</v>
      </c>
      <c r="E7" s="243">
        <f t="shared" si="0"/>
        <v>328826.19431694568</v>
      </c>
      <c r="F7" s="243">
        <f t="shared" si="1"/>
        <v>172302.97511883191</v>
      </c>
      <c r="G7" s="243">
        <f t="shared" si="5"/>
        <v>501129.16943577759</v>
      </c>
      <c r="H7" s="243">
        <f t="shared" si="6"/>
        <v>182912146.84405881</v>
      </c>
      <c r="I7" s="243">
        <f t="shared" si="7"/>
        <v>8779783.0485148225</v>
      </c>
      <c r="J7" s="243">
        <f t="shared" si="2"/>
        <v>6698054.4505279828</v>
      </c>
      <c r="K7" s="249">
        <f t="shared" si="3"/>
        <v>7800723.522115143</v>
      </c>
    </row>
    <row r="8" spans="2:11" ht="15" x14ac:dyDescent="0.25">
      <c r="B8" s="248">
        <v>2021</v>
      </c>
      <c r="C8" s="242">
        <f>'Input Assumptions'!D24</f>
        <v>682634.15599970066</v>
      </c>
      <c r="D8" s="242">
        <f t="shared" si="4"/>
        <v>249161466.93989074</v>
      </c>
      <c r="E8" s="243">
        <f t="shared" si="0"/>
        <v>334087.41342601681</v>
      </c>
      <c r="F8" s="243">
        <f t="shared" si="1"/>
        <v>175059.82272073327</v>
      </c>
      <c r="G8" s="243">
        <f t="shared" si="5"/>
        <v>509147.23614675005</v>
      </c>
      <c r="H8" s="243">
        <f t="shared" si="6"/>
        <v>185838741.19356376</v>
      </c>
      <c r="I8" s="243">
        <f t="shared" si="7"/>
        <v>8920259.5772910602</v>
      </c>
      <c r="J8" s="243">
        <f t="shared" si="2"/>
        <v>6360021.7960153557</v>
      </c>
      <c r="K8" s="249">
        <f t="shared" si="3"/>
        <v>7694694.2703582393</v>
      </c>
    </row>
    <row r="9" spans="2:11" ht="15" x14ac:dyDescent="0.25">
      <c r="B9" s="248">
        <v>2022</v>
      </c>
      <c r="C9" s="242">
        <f>'Input Assumptions'!D25</f>
        <v>693556.30249569588</v>
      </c>
      <c r="D9" s="242">
        <f t="shared" si="4"/>
        <v>253148050.41092899</v>
      </c>
      <c r="E9" s="243">
        <f t="shared" si="0"/>
        <v>339432.81204083312</v>
      </c>
      <c r="F9" s="243">
        <f t="shared" si="1"/>
        <v>177860.77988426498</v>
      </c>
      <c r="G9" s="243">
        <f t="shared" si="5"/>
        <v>517293.5919250981</v>
      </c>
      <c r="H9" s="243">
        <f t="shared" si="6"/>
        <v>188812161.05266079</v>
      </c>
      <c r="I9" s="243">
        <f t="shared" si="7"/>
        <v>9062983.7305277176</v>
      </c>
      <c r="J9" s="243">
        <f t="shared" si="2"/>
        <v>6039048.7334127119</v>
      </c>
      <c r="K9" s="249">
        <f t="shared" si="3"/>
        <v>7590106.192897059</v>
      </c>
    </row>
    <row r="10" spans="2:11" ht="15" x14ac:dyDescent="0.25">
      <c r="B10" s="248">
        <v>2023</v>
      </c>
      <c r="C10" s="242">
        <f>'Input Assumptions'!D26</f>
        <v>704653.20333562698</v>
      </c>
      <c r="D10" s="242">
        <f t="shared" si="4"/>
        <v>257198419.21750385</v>
      </c>
      <c r="E10" s="243">
        <f t="shared" si="0"/>
        <v>344863.73703348642</v>
      </c>
      <c r="F10" s="243">
        <f t="shared" si="1"/>
        <v>180706.5523624132</v>
      </c>
      <c r="G10" s="243">
        <f t="shared" si="5"/>
        <v>525570.28939589963</v>
      </c>
      <c r="H10" s="243">
        <f t="shared" si="6"/>
        <v>191833155.62950337</v>
      </c>
      <c r="I10" s="243">
        <f t="shared" si="7"/>
        <v>9207991.4702161625</v>
      </c>
      <c r="J10" s="243">
        <f t="shared" si="2"/>
        <v>5734274.311352632</v>
      </c>
      <c r="K10" s="249">
        <f t="shared" si="3"/>
        <v>7486939.7009547697</v>
      </c>
    </row>
    <row r="11" spans="2:11" ht="15" x14ac:dyDescent="0.25">
      <c r="B11" s="248">
        <v>2024</v>
      </c>
      <c r="C11" s="242">
        <f>'Input Assumptions'!D27</f>
        <v>715927.65458899701</v>
      </c>
      <c r="D11" s="242">
        <f t="shared" si="4"/>
        <v>261313593.92498392</v>
      </c>
      <c r="E11" s="243">
        <f t="shared" si="0"/>
        <v>350381.55682602222</v>
      </c>
      <c r="F11" s="243">
        <f t="shared" si="1"/>
        <v>183597.85720021185</v>
      </c>
      <c r="G11" s="243">
        <f t="shared" si="5"/>
        <v>533979.41402623407</v>
      </c>
      <c r="H11" s="243">
        <f t="shared" si="6"/>
        <v>194902486.11957544</v>
      </c>
      <c r="I11" s="243">
        <f t="shared" si="7"/>
        <v>9355319.3337396216</v>
      </c>
      <c r="J11" s="243">
        <f t="shared" si="2"/>
        <v>5444881.0283497889</v>
      </c>
      <c r="K11" s="249">
        <f t="shared" si="3"/>
        <v>7385175.4720097547</v>
      </c>
    </row>
    <row r="12" spans="2:11" ht="15" x14ac:dyDescent="0.25">
      <c r="B12" s="248">
        <v>2025</v>
      </c>
      <c r="C12" s="242">
        <f>'Input Assumptions'!D28</f>
        <v>727382.49706242094</v>
      </c>
      <c r="D12" s="242">
        <f t="shared" si="4"/>
        <v>265494611.42778364</v>
      </c>
      <c r="E12" s="243">
        <f t="shared" si="0"/>
        <v>355987.66173523857</v>
      </c>
      <c r="F12" s="243">
        <f t="shared" si="1"/>
        <v>186535.4229154152</v>
      </c>
      <c r="G12" s="243">
        <f t="shared" si="5"/>
        <v>542523.08465065376</v>
      </c>
      <c r="H12" s="243">
        <f t="shared" si="6"/>
        <v>198020925.89748862</v>
      </c>
      <c r="I12" s="243">
        <f t="shared" si="7"/>
        <v>9505004.4430794548</v>
      </c>
      <c r="J12" s="243">
        <f t="shared" si="2"/>
        <v>5170092.6400031634</v>
      </c>
      <c r="K12" s="249">
        <f t="shared" si="3"/>
        <v>7284794.4461766118</v>
      </c>
    </row>
    <row r="13" spans="2:11" ht="15" x14ac:dyDescent="0.25">
      <c r="B13" s="248">
        <v>2026</v>
      </c>
      <c r="C13" s="242">
        <f>'Input Assumptions'!D29</f>
        <v>739020.61701541964</v>
      </c>
      <c r="D13" s="242">
        <f t="shared" si="4"/>
        <v>269742525.21062815</v>
      </c>
      <c r="E13" s="243">
        <f t="shared" si="0"/>
        <v>361683.46432300238</v>
      </c>
      <c r="F13" s="243">
        <f t="shared" si="1"/>
        <v>189519.98968206183</v>
      </c>
      <c r="G13" s="243">
        <f t="shared" si="5"/>
        <v>551203.45400506421</v>
      </c>
      <c r="H13" s="243">
        <f t="shared" si="6"/>
        <v>201189260.71184844</v>
      </c>
      <c r="I13" s="243">
        <f t="shared" si="7"/>
        <v>9657084.5141687244</v>
      </c>
      <c r="J13" s="243">
        <f t="shared" si="2"/>
        <v>4909172.0768628158</v>
      </c>
      <c r="K13" s="249">
        <f t="shared" si="3"/>
        <v>7185777.8226363454</v>
      </c>
    </row>
    <row r="14" spans="2:11" ht="15" x14ac:dyDescent="0.25">
      <c r="B14" s="248">
        <v>2027</v>
      </c>
      <c r="C14" s="242">
        <f>'Input Assumptions'!D30</f>
        <v>750844.94688766624</v>
      </c>
      <c r="D14" s="242">
        <f t="shared" si="4"/>
        <v>274058405.61399817</v>
      </c>
      <c r="E14" s="243">
        <f t="shared" si="0"/>
        <v>367470.39975217037</v>
      </c>
      <c r="F14" s="243">
        <f t="shared" si="1"/>
        <v>192552.30951697481</v>
      </c>
      <c r="G14" s="243">
        <f t="shared" si="5"/>
        <v>560022.70926914515</v>
      </c>
      <c r="H14" s="243">
        <f t="shared" si="6"/>
        <v>204408288.88323799</v>
      </c>
      <c r="I14" s="243">
        <f t="shared" si="7"/>
        <v>9811597.8663954232</v>
      </c>
      <c r="J14" s="243">
        <f t="shared" si="2"/>
        <v>4661419.4673762806</v>
      </c>
      <c r="K14" s="249">
        <f t="shared" si="3"/>
        <v>7088107.0561150741</v>
      </c>
    </row>
    <row r="15" spans="2:11" ht="15" x14ac:dyDescent="0.25">
      <c r="B15" s="248">
        <v>2028</v>
      </c>
      <c r="C15" s="242">
        <f>'Input Assumptions'!D31</f>
        <v>762858.46603786887</v>
      </c>
      <c r="D15" s="242">
        <f t="shared" si="4"/>
        <v>278443340.10382211</v>
      </c>
      <c r="E15" s="243">
        <f t="shared" si="0"/>
        <v>373349.92614820506</v>
      </c>
      <c r="F15" s="243">
        <f t="shared" si="1"/>
        <v>195633.14646924639</v>
      </c>
      <c r="G15" s="243">
        <f t="shared" si="5"/>
        <v>568983.07261745143</v>
      </c>
      <c r="H15" s="243">
        <f t="shared" si="6"/>
        <v>207678821.50536978</v>
      </c>
      <c r="I15" s="243">
        <f t="shared" si="7"/>
        <v>9968583.4322577491</v>
      </c>
      <c r="J15" s="243">
        <f t="shared" si="2"/>
        <v>4426170.2606114969</v>
      </c>
      <c r="K15" s="249">
        <f t="shared" si="3"/>
        <v>6991763.8534105979</v>
      </c>
    </row>
    <row r="16" spans="2:11" ht="15" x14ac:dyDescent="0.25">
      <c r="B16" s="248">
        <v>2029</v>
      </c>
      <c r="C16" s="242">
        <f>'Input Assumptions'!D32</f>
        <v>775064.20149447478</v>
      </c>
      <c r="D16" s="242">
        <f t="shared" si="4"/>
        <v>282898433.54548329</v>
      </c>
      <c r="E16" s="243">
        <f t="shared" si="0"/>
        <v>379323.52496657637</v>
      </c>
      <c r="F16" s="243">
        <f t="shared" si="1"/>
        <v>198763.27681275434</v>
      </c>
      <c r="G16" s="243">
        <f t="shared" si="5"/>
        <v>578086.80177933071</v>
      </c>
      <c r="H16" s="243">
        <f t="shared" si="6"/>
        <v>211001682.6494557</v>
      </c>
      <c r="I16" s="243">
        <f t="shared" si="7"/>
        <v>10128080.767173873</v>
      </c>
      <c r="J16" s="243">
        <f t="shared" si="2"/>
        <v>4202793.4437208232</v>
      </c>
      <c r="K16" s="249">
        <f t="shared" si="3"/>
        <v>6896730.1699661827</v>
      </c>
    </row>
    <row r="17" spans="2:11" ht="15" x14ac:dyDescent="0.25">
      <c r="B17" s="248">
        <v>2030</v>
      </c>
      <c r="C17" s="242">
        <f>'Input Assumptions'!D33</f>
        <v>787465.22871838638</v>
      </c>
      <c r="D17" s="242">
        <f t="shared" si="4"/>
        <v>287424808.48221105</v>
      </c>
      <c r="E17" s="243">
        <f t="shared" si="0"/>
        <v>385392.70136604155</v>
      </c>
      <c r="F17" s="243">
        <f t="shared" si="1"/>
        <v>201943.48924175839</v>
      </c>
      <c r="G17" s="243">
        <f t="shared" si="5"/>
        <v>587336.19060779992</v>
      </c>
      <c r="H17" s="243">
        <f t="shared" si="6"/>
        <v>214377709.57184696</v>
      </c>
      <c r="I17" s="243">
        <f t="shared" si="7"/>
        <v>10290130.059448654</v>
      </c>
      <c r="J17" s="243">
        <f t="shared" si="2"/>
        <v>3990689.8493648185</v>
      </c>
      <c r="K17" s="249">
        <f t="shared" si="3"/>
        <v>6802988.2064909125</v>
      </c>
    </row>
    <row r="18" spans="2:11" ht="15" x14ac:dyDescent="0.25">
      <c r="B18" s="248">
        <v>2031</v>
      </c>
      <c r="C18" s="242">
        <f>'Input Assumptions'!D34</f>
        <v>800064.67237788055</v>
      </c>
      <c r="D18" s="242">
        <f t="shared" si="4"/>
        <v>292023605.41792637</v>
      </c>
      <c r="E18" s="243">
        <f t="shared" si="0"/>
        <v>391558.98458789825</v>
      </c>
      <c r="F18" s="243">
        <f t="shared" si="1"/>
        <v>205174.58506962651</v>
      </c>
      <c r="G18" s="243">
        <f t="shared" si="5"/>
        <v>596733.56965752481</v>
      </c>
      <c r="H18" s="243">
        <f t="shared" si="6"/>
        <v>217807752.92499655</v>
      </c>
      <c r="I18" s="243">
        <f t="shared" si="7"/>
        <v>10454772.140399834</v>
      </c>
      <c r="J18" s="243">
        <f t="shared" si="2"/>
        <v>3789290.5485557527</v>
      </c>
      <c r="K18" s="249">
        <f t="shared" si="3"/>
        <v>6710520.4056259878</v>
      </c>
    </row>
    <row r="19" spans="2:11" ht="15" x14ac:dyDescent="0.25">
      <c r="B19" s="248">
        <v>2032</v>
      </c>
      <c r="C19" s="242">
        <f>'Input Assumptions'!D35</f>
        <v>812865.70713592658</v>
      </c>
      <c r="D19" s="242">
        <f t="shared" si="4"/>
        <v>296695983.10461318</v>
      </c>
      <c r="E19" s="243">
        <f t="shared" si="0"/>
        <v>397823.92834130459</v>
      </c>
      <c r="F19" s="243">
        <f t="shared" si="1"/>
        <v>208457.37843074056</v>
      </c>
      <c r="G19" s="243">
        <f t="shared" si="5"/>
        <v>606281.30677204509</v>
      </c>
      <c r="H19" s="243">
        <f t="shared" si="6"/>
        <v>221292676.97179645</v>
      </c>
      <c r="I19" s="243">
        <f t="shared" si="7"/>
        <v>10622048.494646231</v>
      </c>
      <c r="J19" s="243">
        <f t="shared" si="2"/>
        <v>3598055.3246099488</v>
      </c>
      <c r="K19" s="249">
        <f t="shared" si="3"/>
        <v>6619309.448656315</v>
      </c>
    </row>
    <row r="20" spans="2:11" ht="15" x14ac:dyDescent="0.25">
      <c r="B20" s="248">
        <v>2033</v>
      </c>
      <c r="C20" s="242">
        <f>'Input Assumptions'!D36</f>
        <v>825871.55845010153</v>
      </c>
      <c r="D20" s="242">
        <f t="shared" si="4"/>
        <v>301443118.83428705</v>
      </c>
      <c r="E20" s="243">
        <f t="shared" si="0"/>
        <v>404189.11119476549</v>
      </c>
      <c r="F20" s="243">
        <f t="shared" si="1"/>
        <v>211792.69648563242</v>
      </c>
      <c r="G20" s="243">
        <f t="shared" si="5"/>
        <v>615981.80768039788</v>
      </c>
      <c r="H20" s="243">
        <f t="shared" si="6"/>
        <v>224833359.80334523</v>
      </c>
      <c r="I20" s="243">
        <f t="shared" si="7"/>
        <v>10792001.270560572</v>
      </c>
      <c r="J20" s="243">
        <f t="shared" si="2"/>
        <v>3416471.2241156152</v>
      </c>
      <c r="K20" s="249">
        <f t="shared" si="3"/>
        <v>6529338.2522668121</v>
      </c>
    </row>
    <row r="21" spans="2:11" ht="15" x14ac:dyDescent="0.25">
      <c r="B21" s="248">
        <v>2034</v>
      </c>
      <c r="C21" s="242">
        <f>'Input Assumptions'!D37</f>
        <v>839085.50338530308</v>
      </c>
      <c r="D21" s="242">
        <f t="shared" si="4"/>
        <v>306266208.73563564</v>
      </c>
      <c r="E21" s="243">
        <f t="shared" si="0"/>
        <v>410656.13697388169</v>
      </c>
      <c r="F21" s="243">
        <f t="shared" si="1"/>
        <v>215181.37962940251</v>
      </c>
      <c r="G21" s="243">
        <f t="shared" si="5"/>
        <v>625837.51660328417</v>
      </c>
      <c r="H21" s="243">
        <f t="shared" si="6"/>
        <v>228430693.56019872</v>
      </c>
      <c r="I21" s="243">
        <f t="shared" si="7"/>
        <v>10964673.290889539</v>
      </c>
      <c r="J21" s="243">
        <f t="shared" si="2"/>
        <v>3244051.1810294059</v>
      </c>
      <c r="K21" s="249">
        <f t="shared" si="3"/>
        <v>6440589.9653427964</v>
      </c>
    </row>
    <row r="22" spans="2:11" ht="15" x14ac:dyDescent="0.25">
      <c r="B22" s="248">
        <v>2035</v>
      </c>
      <c r="C22" s="242">
        <f>'Input Assumptions'!D38</f>
        <v>852510.871439468</v>
      </c>
      <c r="D22" s="242">
        <f t="shared" si="4"/>
        <v>311166468.07540584</v>
      </c>
      <c r="E22" s="243">
        <f t="shared" si="0"/>
        <v>417226.63516546384</v>
      </c>
      <c r="F22" s="243">
        <f t="shared" si="1"/>
        <v>218624.28170347298</v>
      </c>
      <c r="G22" s="243">
        <f t="shared" si="5"/>
        <v>635850.91686893685</v>
      </c>
      <c r="H22" s="243">
        <f t="shared" si="6"/>
        <v>232085584.65716195</v>
      </c>
      <c r="I22" s="243">
        <f t="shared" si="7"/>
        <v>11140108.063543774</v>
      </c>
      <c r="J22" s="243">
        <f t="shared" si="2"/>
        <v>3080332.7102111001</v>
      </c>
      <c r="K22" s="249">
        <f t="shared" si="3"/>
        <v>6353047.9658138668</v>
      </c>
    </row>
    <row r="23" spans="2:11" ht="15" x14ac:dyDescent="0.25">
      <c r="B23" s="248">
        <v>2036</v>
      </c>
      <c r="C23" s="242">
        <f>'Input Assumptions'!D39</f>
        <v>866151.04538249946</v>
      </c>
      <c r="D23" s="242">
        <f t="shared" si="4"/>
        <v>316145131.56461233</v>
      </c>
      <c r="E23" s="243">
        <f t="shared" si="0"/>
        <v>423902.26132811129</v>
      </c>
      <c r="F23" s="243">
        <f t="shared" si="1"/>
        <v>222122.27021072854</v>
      </c>
      <c r="G23" s="243">
        <f t="shared" si="5"/>
        <v>646024.5315388398</v>
      </c>
      <c r="H23" s="243">
        <f t="shared" si="6"/>
        <v>235798954.01167652</v>
      </c>
      <c r="I23" s="243">
        <f t="shared" si="7"/>
        <v>11318349.792560473</v>
      </c>
      <c r="J23" s="243">
        <f t="shared" si="2"/>
        <v>2924876.6668920349</v>
      </c>
      <c r="K23" s="249">
        <f t="shared" si="3"/>
        <v>6266695.857540668</v>
      </c>
    </row>
    <row r="24" spans="2:11" ht="15" x14ac:dyDescent="0.25">
      <c r="B24" s="248">
        <v>2037</v>
      </c>
      <c r="C24" s="242">
        <f>'Input Assumptions'!D40</f>
        <v>880009.46210861951</v>
      </c>
      <c r="D24" s="242">
        <f t="shared" si="4"/>
        <v>321203453.66964614</v>
      </c>
      <c r="E24" s="243">
        <f t="shared" si="0"/>
        <v>430684.69750936108</v>
      </c>
      <c r="F24" s="243">
        <f t="shared" si="1"/>
        <v>225676.22653410019</v>
      </c>
      <c r="G24" s="243">
        <f t="shared" si="5"/>
        <v>656360.92404346121</v>
      </c>
      <c r="H24" s="243">
        <f t="shared" si="6"/>
        <v>239571737.27586335</v>
      </c>
      <c r="I24" s="243">
        <f t="shared" si="7"/>
        <v>11499443.38924144</v>
      </c>
      <c r="J24" s="243">
        <f t="shared" si="2"/>
        <v>2777266.0687498199</v>
      </c>
      <c r="K24" s="249">
        <f t="shared" si="3"/>
        <v>6181517.4672439992</v>
      </c>
    </row>
    <row r="25" spans="2:11" ht="15" x14ac:dyDescent="0.25">
      <c r="B25" s="248">
        <v>2038</v>
      </c>
      <c r="C25" s="242">
        <f>'Input Assumptions'!D41</f>
        <v>894089.61350235739</v>
      </c>
      <c r="D25" s="242">
        <f t="shared" si="4"/>
        <v>326342708.92836046</v>
      </c>
      <c r="E25" s="243">
        <f t="shared" si="0"/>
        <v>437575.65266951086</v>
      </c>
      <c r="F25" s="243">
        <f t="shared" si="1"/>
        <v>229287.04615864583</v>
      </c>
      <c r="G25" s="243">
        <f t="shared" si="5"/>
        <v>666862.69882815669</v>
      </c>
      <c r="H25" s="243">
        <f t="shared" si="6"/>
        <v>243404885.07227719</v>
      </c>
      <c r="I25" s="243">
        <f t="shared" si="7"/>
        <v>11683434.483469306</v>
      </c>
      <c r="J25" s="243">
        <f t="shared" si="2"/>
        <v>2637104.9774297364</v>
      </c>
      <c r="K25" s="249">
        <f t="shared" si="3"/>
        <v>6097496.8414756348</v>
      </c>
    </row>
    <row r="26" spans="2:11" ht="15" x14ac:dyDescent="0.25">
      <c r="B26" s="248">
        <v>2039</v>
      </c>
      <c r="C26" s="242">
        <f>'Input Assumptions'!D42</f>
        <v>908395.04731839511</v>
      </c>
      <c r="D26" s="242">
        <f t="shared" si="4"/>
        <v>331564192.27121419</v>
      </c>
      <c r="E26" s="243">
        <f t="shared" si="0"/>
        <v>444576.86311222299</v>
      </c>
      <c r="F26" s="243">
        <f t="shared" si="1"/>
        <v>232955.63889718414</v>
      </c>
      <c r="G26" s="243">
        <f t="shared" si="5"/>
        <v>677532.50200940715</v>
      </c>
      <c r="H26" s="243">
        <f t="shared" si="6"/>
        <v>247299363.2334336</v>
      </c>
      <c r="I26" s="243">
        <f t="shared" si="7"/>
        <v>11870369.435204813</v>
      </c>
      <c r="J26" s="243">
        <f t="shared" si="2"/>
        <v>2504017.4365127212</v>
      </c>
      <c r="K26" s="249">
        <f t="shared" si="3"/>
        <v>6014618.2436303338</v>
      </c>
    </row>
    <row r="27" spans="2:11" ht="15" x14ac:dyDescent="0.25">
      <c r="B27" s="248">
        <v>2040</v>
      </c>
      <c r="C27" s="242">
        <f>'Input Assumptions'!D43</f>
        <v>922929.36807548942</v>
      </c>
      <c r="D27" s="242">
        <f t="shared" si="4"/>
        <v>336869219.34755361</v>
      </c>
      <c r="E27" s="243">
        <f t="shared" si="0"/>
        <v>451690.09292201855</v>
      </c>
      <c r="F27" s="243">
        <f t="shared" si="1"/>
        <v>236682.92911953907</v>
      </c>
      <c r="G27" s="243">
        <f t="shared" si="5"/>
        <v>688373.02204155759</v>
      </c>
      <c r="H27" s="243">
        <f t="shared" si="6"/>
        <v>251256153.04516852</v>
      </c>
      <c r="I27" s="243">
        <f t="shared" si="7"/>
        <v>12060295.34616809</v>
      </c>
      <c r="J27" s="243">
        <f t="shared" si="2"/>
        <v>2377646.4630812379</v>
      </c>
      <c r="K27" s="249">
        <f t="shared" si="3"/>
        <v>5932866.1509984657</v>
      </c>
    </row>
    <row r="28" spans="2:11" ht="15.75" thickBot="1" x14ac:dyDescent="0.3">
      <c r="B28" s="250" t="s">
        <v>32</v>
      </c>
      <c r="C28" s="250">
        <f t="shared" ref="C28:H28" si="8">SUM(C3:C27)</f>
        <v>19196644.872793581</v>
      </c>
      <c r="D28" s="250">
        <f t="shared" si="8"/>
        <v>7006775378.5696554</v>
      </c>
      <c r="E28" s="250">
        <f t="shared" si="8"/>
        <v>9395013.9699898474</v>
      </c>
      <c r="F28" s="250">
        <f t="shared" si="8"/>
        <v>4922931.586015732</v>
      </c>
      <c r="G28" s="250">
        <f t="shared" si="8"/>
        <v>14317945.556005577</v>
      </c>
      <c r="H28" s="250">
        <f t="shared" si="8"/>
        <v>5226050127.9420347</v>
      </c>
      <c r="I28" s="250">
        <f>SUM(I3:I27)</f>
        <v>250850406.14121768</v>
      </c>
      <c r="J28" s="250">
        <f>SUM(J3:J27)</f>
        <v>118532231.79811235</v>
      </c>
      <c r="K28" s="251">
        <f>SUM(K3:K27)</f>
        <v>175646512.23116267</v>
      </c>
    </row>
    <row r="29" spans="2:11" ht="15" x14ac:dyDescent="0.25">
      <c r="B29" s="239"/>
      <c r="C29" s="239"/>
      <c r="D29" s="239"/>
      <c r="E29" s="239"/>
      <c r="F29" s="239"/>
      <c r="G29" s="239"/>
    </row>
    <row r="31" spans="2:11" ht="15" x14ac:dyDescent="0.25">
      <c r="C31" s="351" t="s">
        <v>20</v>
      </c>
      <c r="D31" s="351"/>
      <c r="E31" s="351"/>
      <c r="F31" s="351"/>
    </row>
    <row r="32" spans="2:11" ht="15" x14ac:dyDescent="0.25">
      <c r="C32" s="405" t="s">
        <v>118</v>
      </c>
      <c r="D32" s="405"/>
      <c r="E32" s="405"/>
      <c r="F32" s="41">
        <f>F49/100</f>
        <v>0.63766666666666671</v>
      </c>
    </row>
    <row r="33" spans="3:8" ht="15" x14ac:dyDescent="0.25">
      <c r="C33" s="405" t="s">
        <v>119</v>
      </c>
      <c r="D33" s="405"/>
      <c r="E33" s="405"/>
      <c r="F33" s="41">
        <v>1.103</v>
      </c>
    </row>
    <row r="34" spans="3:8" ht="35.25" customHeight="1" x14ac:dyDescent="0.25">
      <c r="C34" s="407" t="s">
        <v>41</v>
      </c>
      <c r="D34" s="407"/>
      <c r="E34" s="407"/>
      <c r="F34" s="44">
        <v>4.8000000000000001E-2</v>
      </c>
    </row>
    <row r="35" spans="3:8" ht="15" x14ac:dyDescent="0.25">
      <c r="C35" s="405" t="s">
        <v>31</v>
      </c>
      <c r="D35" s="405"/>
      <c r="E35" s="405"/>
      <c r="F35" s="44">
        <v>7.0000000000000007E-2</v>
      </c>
    </row>
    <row r="36" spans="3:8" ht="15.75" thickBot="1" x14ac:dyDescent="0.3"/>
    <row r="37" spans="3:8" ht="18.75" thickBot="1" x14ac:dyDescent="0.3">
      <c r="C37" s="356" t="s">
        <v>148</v>
      </c>
      <c r="D37" s="357"/>
      <c r="E37" s="357"/>
      <c r="F37" s="357"/>
      <c r="G37" s="357"/>
      <c r="H37" s="358"/>
    </row>
    <row r="38" spans="3:8" ht="15.75" thickBot="1" x14ac:dyDescent="0.3">
      <c r="C38" s="387" t="s">
        <v>147</v>
      </c>
      <c r="D38" s="388"/>
      <c r="E38" s="388"/>
      <c r="F38" s="388"/>
      <c r="G38" s="388"/>
      <c r="H38" s="389"/>
    </row>
    <row r="39" spans="3:8" ht="15.75" thickBot="1" x14ac:dyDescent="0.3">
      <c r="C39" s="390" t="s">
        <v>121</v>
      </c>
      <c r="D39" s="391"/>
      <c r="E39" s="391"/>
      <c r="F39" s="391"/>
      <c r="G39" s="391"/>
      <c r="H39" s="392"/>
    </row>
    <row r="40" spans="3:8" ht="15.75" thickBot="1" x14ac:dyDescent="0.3">
      <c r="C40" s="393" t="s">
        <v>122</v>
      </c>
      <c r="D40" s="394"/>
      <c r="E40" s="394"/>
      <c r="F40" s="394"/>
      <c r="G40" s="394"/>
      <c r="H40" s="392"/>
    </row>
    <row r="41" spans="3:8" x14ac:dyDescent="0.3">
      <c r="C41" s="395" t="s">
        <v>123</v>
      </c>
      <c r="D41" s="396"/>
      <c r="E41" s="399" t="s">
        <v>30</v>
      </c>
      <c r="F41" s="399"/>
      <c r="G41" s="400"/>
      <c r="H41" s="65"/>
    </row>
    <row r="42" spans="3:8" x14ac:dyDescent="0.3">
      <c r="C42" s="397"/>
      <c r="D42" s="398"/>
      <c r="E42" s="58">
        <v>10000</v>
      </c>
      <c r="F42" s="58">
        <v>15000</v>
      </c>
      <c r="G42" s="69">
        <v>20000</v>
      </c>
      <c r="H42" s="65"/>
    </row>
    <row r="43" spans="3:8" ht="15" x14ac:dyDescent="0.25">
      <c r="C43" s="350" t="s">
        <v>124</v>
      </c>
      <c r="D43" s="351"/>
      <c r="E43" s="58">
        <v>58.2</v>
      </c>
      <c r="F43" s="58">
        <v>44.9</v>
      </c>
      <c r="G43" s="69">
        <v>38</v>
      </c>
      <c r="H43" s="65"/>
    </row>
    <row r="44" spans="3:8" ht="15" x14ac:dyDescent="0.25">
      <c r="C44" s="350" t="s">
        <v>125</v>
      </c>
      <c r="D44" s="351"/>
      <c r="E44" s="58">
        <v>75.900000000000006</v>
      </c>
      <c r="F44" s="58">
        <v>58.1</v>
      </c>
      <c r="G44" s="69">
        <v>49</v>
      </c>
      <c r="H44" s="65"/>
    </row>
    <row r="45" spans="3:8" ht="15" x14ac:dyDescent="0.25">
      <c r="C45" s="350" t="s">
        <v>126</v>
      </c>
      <c r="D45" s="351"/>
      <c r="E45" s="58">
        <v>93.3</v>
      </c>
      <c r="F45" s="58">
        <v>71</v>
      </c>
      <c r="G45" s="69">
        <v>59.5</v>
      </c>
      <c r="H45" s="65"/>
    </row>
    <row r="46" spans="3:8" ht="15" x14ac:dyDescent="0.25">
      <c r="C46" s="350" t="s">
        <v>127</v>
      </c>
      <c r="D46" s="351"/>
      <c r="E46" s="58">
        <v>75.800000000000011</v>
      </c>
      <c r="F46" s="58">
        <v>58</v>
      </c>
      <c r="G46" s="233">
        <v>48.833333333333336</v>
      </c>
      <c r="H46" s="65"/>
    </row>
    <row r="47" spans="3:8" ht="15" x14ac:dyDescent="0.25">
      <c r="C47" s="350" t="s">
        <v>128</v>
      </c>
      <c r="D47" s="351"/>
      <c r="E47" s="58">
        <v>92.6</v>
      </c>
      <c r="F47" s="58">
        <v>70.8</v>
      </c>
      <c r="G47" s="69">
        <v>59.7</v>
      </c>
      <c r="H47" s="65"/>
    </row>
    <row r="48" spans="3:8" ht="15" x14ac:dyDescent="0.25">
      <c r="C48" s="350" t="s">
        <v>129</v>
      </c>
      <c r="D48" s="351"/>
      <c r="E48" s="58">
        <v>81.2</v>
      </c>
      <c r="F48" s="58">
        <v>62.5</v>
      </c>
      <c r="G48" s="69">
        <v>52.9</v>
      </c>
      <c r="H48" s="65"/>
    </row>
    <row r="49" spans="3:8" ht="15.75" thickBot="1" x14ac:dyDescent="0.3">
      <c r="C49" s="352" t="s">
        <v>130</v>
      </c>
      <c r="D49" s="353"/>
      <c r="E49" s="70">
        <v>83.2</v>
      </c>
      <c r="F49" s="194">
        <v>63.766666666666673</v>
      </c>
      <c r="G49" s="195">
        <v>53.81111111111111</v>
      </c>
      <c r="H49" s="65"/>
    </row>
    <row r="50" spans="3:8" ht="15" x14ac:dyDescent="0.25">
      <c r="C50" s="63"/>
      <c r="D50" s="64" t="s">
        <v>131</v>
      </c>
      <c r="E50" s="64"/>
      <c r="F50" s="64"/>
      <c r="G50" s="64"/>
      <c r="H50" s="65"/>
    </row>
    <row r="51" spans="3:8" ht="15" customHeight="1" x14ac:dyDescent="0.3">
      <c r="C51" s="63"/>
      <c r="D51" s="377" t="s">
        <v>132</v>
      </c>
      <c r="E51" s="377"/>
      <c r="F51" s="377"/>
      <c r="G51" s="377"/>
      <c r="H51" s="65"/>
    </row>
    <row r="52" spans="3:8" x14ac:dyDescent="0.3">
      <c r="C52" s="63"/>
      <c r="D52" s="377"/>
      <c r="E52" s="377"/>
      <c r="F52" s="377"/>
      <c r="G52" s="377"/>
      <c r="H52" s="65"/>
    </row>
    <row r="53" spans="3:8" x14ac:dyDescent="0.3">
      <c r="C53" s="63"/>
      <c r="D53" s="377"/>
      <c r="E53" s="377"/>
      <c r="F53" s="377"/>
      <c r="G53" s="377"/>
      <c r="H53" s="65"/>
    </row>
    <row r="54" spans="3:8" ht="15" x14ac:dyDescent="0.25">
      <c r="C54" s="63"/>
      <c r="D54" s="64" t="s">
        <v>133</v>
      </c>
      <c r="E54" s="64"/>
      <c r="F54" s="64"/>
      <c r="G54" s="64"/>
      <c r="H54" s="65"/>
    </row>
    <row r="55" spans="3:8" ht="15.75" thickBot="1" x14ac:dyDescent="0.3">
      <c r="C55" s="63"/>
      <c r="D55" s="64" t="s">
        <v>134</v>
      </c>
      <c r="E55" s="64"/>
      <c r="F55" s="64"/>
      <c r="G55" s="64"/>
      <c r="H55" s="65"/>
    </row>
    <row r="56" spans="3:8" ht="15" thickBot="1" x14ac:dyDescent="0.35">
      <c r="C56" s="390" t="s">
        <v>135</v>
      </c>
      <c r="D56" s="391"/>
      <c r="E56" s="391"/>
      <c r="F56" s="391"/>
      <c r="G56" s="391"/>
      <c r="H56" s="392"/>
    </row>
    <row r="57" spans="3:8" ht="15" thickBot="1" x14ac:dyDescent="0.35">
      <c r="C57" s="390" t="s">
        <v>136</v>
      </c>
      <c r="D57" s="391"/>
      <c r="E57" s="391"/>
      <c r="F57" s="391"/>
      <c r="G57" s="391"/>
      <c r="H57" s="392"/>
    </row>
    <row r="58" spans="3:8" x14ac:dyDescent="0.3">
      <c r="C58" s="354" t="s">
        <v>137</v>
      </c>
      <c r="D58" s="355"/>
      <c r="E58" s="355"/>
      <c r="F58" s="196">
        <v>2015</v>
      </c>
      <c r="G58" s="64"/>
      <c r="H58" s="65"/>
    </row>
    <row r="59" spans="3:8" x14ac:dyDescent="0.3">
      <c r="C59" s="350" t="s">
        <v>138</v>
      </c>
      <c r="D59" s="351"/>
      <c r="E59" s="351"/>
      <c r="F59" s="69">
        <v>0.56999999999999995</v>
      </c>
      <c r="G59" s="64"/>
      <c r="H59" s="65"/>
    </row>
    <row r="60" spans="3:8" x14ac:dyDescent="0.3">
      <c r="C60" s="350" t="s">
        <v>139</v>
      </c>
      <c r="D60" s="351"/>
      <c r="E60" s="351"/>
      <c r="F60" s="69">
        <v>0.19700000000000001</v>
      </c>
      <c r="G60" s="64"/>
      <c r="H60" s="65"/>
    </row>
    <row r="61" spans="3:8" x14ac:dyDescent="0.3">
      <c r="C61" s="350" t="s">
        <v>140</v>
      </c>
      <c r="D61" s="351"/>
      <c r="E61" s="351"/>
      <c r="F61" s="69">
        <v>0.18</v>
      </c>
      <c r="G61" s="64"/>
      <c r="H61" s="65"/>
    </row>
    <row r="62" spans="3:8" x14ac:dyDescent="0.3">
      <c r="C62" s="350" t="s">
        <v>141</v>
      </c>
      <c r="D62" s="351"/>
      <c r="E62" s="351"/>
      <c r="F62" s="69">
        <v>7.6999999999999999E-2</v>
      </c>
      <c r="G62" s="64"/>
      <c r="H62" s="65"/>
    </row>
    <row r="63" spans="3:8" x14ac:dyDescent="0.3">
      <c r="C63" s="350" t="s">
        <v>142</v>
      </c>
      <c r="D63" s="351"/>
      <c r="E63" s="351"/>
      <c r="F63" s="69">
        <v>0.02</v>
      </c>
      <c r="G63" s="64"/>
      <c r="H63" s="65"/>
    </row>
    <row r="64" spans="3:8" x14ac:dyDescent="0.3">
      <c r="C64" s="350" t="s">
        <v>143</v>
      </c>
      <c r="D64" s="351"/>
      <c r="E64" s="351"/>
      <c r="F64" s="69">
        <v>4.2999999999999997E-2</v>
      </c>
      <c r="G64" s="64"/>
      <c r="H64" s="65"/>
    </row>
    <row r="65" spans="3:8" x14ac:dyDescent="0.3">
      <c r="C65" s="350" t="s">
        <v>144</v>
      </c>
      <c r="D65" s="351"/>
      <c r="E65" s="351"/>
      <c r="F65" s="69">
        <v>1.6E-2</v>
      </c>
      <c r="G65" s="64"/>
      <c r="H65" s="65"/>
    </row>
    <row r="66" spans="3:8" ht="15" thickBot="1" x14ac:dyDescent="0.35">
      <c r="C66" s="352" t="s">
        <v>145</v>
      </c>
      <c r="D66" s="353"/>
      <c r="E66" s="353"/>
      <c r="F66" s="71">
        <v>1.1029999999999998</v>
      </c>
      <c r="G66" s="64"/>
      <c r="H66" s="65"/>
    </row>
    <row r="67" spans="3:8" x14ac:dyDescent="0.3">
      <c r="C67" s="230"/>
      <c r="D67" s="231"/>
      <c r="E67" s="231"/>
      <c r="F67" s="232"/>
      <c r="G67" s="64"/>
      <c r="H67" s="65"/>
    </row>
    <row r="68" spans="3:8" x14ac:dyDescent="0.3">
      <c r="C68" s="63"/>
      <c r="D68" s="377" t="s">
        <v>149</v>
      </c>
      <c r="E68" s="377"/>
      <c r="F68" s="377"/>
      <c r="G68" s="377"/>
      <c r="H68" s="65"/>
    </row>
    <row r="69" spans="3:8" x14ac:dyDescent="0.3">
      <c r="C69" s="63"/>
      <c r="D69" s="377"/>
      <c r="E69" s="377"/>
      <c r="F69" s="377"/>
      <c r="G69" s="377"/>
      <c r="H69" s="65"/>
    </row>
    <row r="70" spans="3:8" ht="15" thickBot="1" x14ac:dyDescent="0.35">
      <c r="C70" s="66"/>
      <c r="D70" s="376" t="s">
        <v>146</v>
      </c>
      <c r="E70" s="376"/>
      <c r="F70" s="376"/>
      <c r="G70" s="376"/>
      <c r="H70" s="68"/>
    </row>
  </sheetData>
  <mergeCells count="33">
    <mergeCell ref="D70:G70"/>
    <mergeCell ref="C63:E63"/>
    <mergeCell ref="C64:E64"/>
    <mergeCell ref="C65:E65"/>
    <mergeCell ref="C66:E66"/>
    <mergeCell ref="D68:G69"/>
    <mergeCell ref="C58:E58"/>
    <mergeCell ref="C59:E59"/>
    <mergeCell ref="C60:E60"/>
    <mergeCell ref="C61:E61"/>
    <mergeCell ref="C62:E62"/>
    <mergeCell ref="C48:D48"/>
    <mergeCell ref="C49:D49"/>
    <mergeCell ref="D51:G53"/>
    <mergeCell ref="C56:H56"/>
    <mergeCell ref="C57:H57"/>
    <mergeCell ref="C43:D43"/>
    <mergeCell ref="C44:D44"/>
    <mergeCell ref="C45:D45"/>
    <mergeCell ref="C46:D46"/>
    <mergeCell ref="C47:D47"/>
    <mergeCell ref="C37:H37"/>
    <mergeCell ref="C38:H38"/>
    <mergeCell ref="C39:H39"/>
    <mergeCell ref="C40:H40"/>
    <mergeCell ref="C41:D42"/>
    <mergeCell ref="E41:G41"/>
    <mergeCell ref="B1:K1"/>
    <mergeCell ref="C35:E35"/>
    <mergeCell ref="C31:F31"/>
    <mergeCell ref="C32:E32"/>
    <mergeCell ref="C33:E33"/>
    <mergeCell ref="C34:E3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H29" sqref="H29:I29"/>
    </sheetView>
  </sheetViews>
  <sheetFormatPr defaultRowHeight="14.4" x14ac:dyDescent="0.3"/>
  <cols>
    <col min="2" max="2" width="21.33203125" customWidth="1"/>
    <col min="3" max="3" width="24.109375" customWidth="1"/>
    <col min="4" max="4" width="28.5546875" customWidth="1"/>
    <col min="5" max="5" width="30.6640625" bestFit="1" customWidth="1"/>
    <col min="6" max="6" width="32.88671875" bestFit="1" customWidth="1"/>
    <col min="7" max="7" width="32" customWidth="1"/>
    <col min="8" max="8" width="28.5546875" customWidth="1"/>
    <col min="9" max="9" width="25.44140625" customWidth="1"/>
  </cols>
  <sheetData>
    <row r="1" spans="1:9" ht="18.75" thickBot="1" x14ac:dyDescent="0.3">
      <c r="A1" s="429" t="s">
        <v>201</v>
      </c>
      <c r="B1" s="430"/>
      <c r="C1" s="430"/>
      <c r="D1" s="430"/>
      <c r="E1" s="430"/>
      <c r="F1" s="430"/>
      <c r="G1" s="430"/>
      <c r="H1" s="430"/>
      <c r="I1" s="430"/>
    </row>
    <row r="2" spans="1:9" ht="39" thickBot="1" x14ac:dyDescent="0.3">
      <c r="A2" s="241" t="s">
        <v>0</v>
      </c>
      <c r="B2" s="257" t="s">
        <v>34</v>
      </c>
      <c r="C2" s="258" t="s">
        <v>208</v>
      </c>
      <c r="D2" s="252" t="s">
        <v>88</v>
      </c>
      <c r="E2" s="240" t="s">
        <v>89</v>
      </c>
      <c r="F2" s="240" t="s">
        <v>78</v>
      </c>
      <c r="G2" s="240" t="s">
        <v>79</v>
      </c>
      <c r="H2" s="252" t="s">
        <v>55</v>
      </c>
      <c r="I2" s="252" t="s">
        <v>91</v>
      </c>
    </row>
    <row r="3" spans="1:9" ht="15" x14ac:dyDescent="0.25">
      <c r="A3" s="95">
        <v>2016</v>
      </c>
      <c r="B3" s="97">
        <f>'Input Assumptions'!E19</f>
        <v>9007.8559999999998</v>
      </c>
      <c r="C3" s="97">
        <f>B3*$E$32</f>
        <v>51.769287356322799</v>
      </c>
      <c r="D3" s="149">
        <f>C3*76.75%</f>
        <v>39.732928045977744</v>
      </c>
      <c r="E3" s="146">
        <f>C3*23.25%</f>
        <v>12.036359310345052</v>
      </c>
      <c r="F3" s="143">
        <f>(D3*$E$34+E3*$E$35)</f>
        <v>1247.7314498343169</v>
      </c>
      <c r="G3" s="175">
        <f>F3*365</f>
        <v>455421.97918952565</v>
      </c>
      <c r="H3" s="122">
        <f t="shared" ref="H3:H27" si="0">G3/(1+$E$33)^(A3-$A$3)</f>
        <v>455421.97918952565</v>
      </c>
      <c r="I3" s="122">
        <f>G3/(1+3%)^(A3-$A$3)</f>
        <v>455421.97918952565</v>
      </c>
    </row>
    <row r="4" spans="1:9" ht="15" x14ac:dyDescent="0.25">
      <c r="A4" s="78">
        <v>2017</v>
      </c>
      <c r="B4" s="98">
        <f>'Input Assumptions'!E20</f>
        <v>9151.9816959999989</v>
      </c>
      <c r="C4" s="98">
        <f t="shared" ref="C4:C27" si="1">B4*$E$32</f>
        <v>52.597595954023959</v>
      </c>
      <c r="D4" s="150">
        <f t="shared" ref="D4:D27" si="2">C4*76.75%</f>
        <v>40.368654894713387</v>
      </c>
      <c r="E4" s="147">
        <f t="shared" ref="E4:E27" si="3">C4*23.25%</f>
        <v>12.228941059310571</v>
      </c>
      <c r="F4" s="144">
        <f t="shared" ref="F4:F27" si="4">(D4*$E$34+E4*$E$35)</f>
        <v>1267.695153031666</v>
      </c>
      <c r="G4" s="176">
        <f t="shared" ref="G4:G27" si="5">F4*365</f>
        <v>462708.73085655808</v>
      </c>
      <c r="H4" s="122">
        <f t="shared" si="0"/>
        <v>432438.06622108229</v>
      </c>
      <c r="I4" s="122">
        <f t="shared" ref="I4:I27" si="6">G4/(1+3%)^(A4-$A$3)</f>
        <v>449231.77753063891</v>
      </c>
    </row>
    <row r="5" spans="1:9" ht="15" x14ac:dyDescent="0.25">
      <c r="A5" s="78">
        <v>2018</v>
      </c>
      <c r="B5" s="98">
        <f>'Input Assumptions'!E21</f>
        <v>9298.413403135999</v>
      </c>
      <c r="C5" s="98">
        <f t="shared" si="1"/>
        <v>53.439157489288341</v>
      </c>
      <c r="D5" s="150">
        <f t="shared" si="2"/>
        <v>41.014553373028797</v>
      </c>
      <c r="E5" s="147">
        <f t="shared" si="3"/>
        <v>12.424604116259539</v>
      </c>
      <c r="F5" s="144">
        <f t="shared" si="4"/>
        <v>1287.9782754801724</v>
      </c>
      <c r="G5" s="176">
        <f t="shared" si="5"/>
        <v>470112.07055026293</v>
      </c>
      <c r="H5" s="122">
        <f t="shared" si="0"/>
        <v>410614.08904730796</v>
      </c>
      <c r="I5" s="122">
        <f t="shared" si="6"/>
        <v>443125.71453507675</v>
      </c>
    </row>
    <row r="6" spans="1:9" ht="15" x14ac:dyDescent="0.25">
      <c r="A6" s="78">
        <v>2019</v>
      </c>
      <c r="B6" s="98">
        <f>'Input Assumptions'!E22</f>
        <v>9447.1880175861752</v>
      </c>
      <c r="C6" s="98">
        <f t="shared" si="1"/>
        <v>54.294184009116954</v>
      </c>
      <c r="D6" s="150">
        <f t="shared" si="2"/>
        <v>41.670786226997258</v>
      </c>
      <c r="E6" s="147">
        <f t="shared" si="3"/>
        <v>12.623397782119692</v>
      </c>
      <c r="F6" s="144">
        <f t="shared" si="4"/>
        <v>1308.5859278878552</v>
      </c>
      <c r="G6" s="176">
        <f t="shared" si="5"/>
        <v>477633.86367906712</v>
      </c>
      <c r="H6" s="122">
        <f t="shared" si="0"/>
        <v>389891.50885239709</v>
      </c>
      <c r="I6" s="122">
        <f t="shared" si="6"/>
        <v>437102.64657052228</v>
      </c>
    </row>
    <row r="7" spans="1:9" ht="15" x14ac:dyDescent="0.25">
      <c r="A7" s="78">
        <v>2020</v>
      </c>
      <c r="B7" s="98">
        <f>'Input Assumptions'!E23</f>
        <v>9598.3430258675562</v>
      </c>
      <c r="C7" s="98">
        <f t="shared" si="1"/>
        <v>55.162890953262838</v>
      </c>
      <c r="D7" s="150">
        <f t="shared" si="2"/>
        <v>42.337518806629227</v>
      </c>
      <c r="E7" s="147">
        <f t="shared" si="3"/>
        <v>12.82537214663361</v>
      </c>
      <c r="F7" s="144">
        <f t="shared" si="4"/>
        <v>1329.5233027340614</v>
      </c>
      <c r="G7" s="176">
        <f t="shared" si="5"/>
        <v>485276.00549793243</v>
      </c>
      <c r="H7" s="122">
        <f t="shared" si="0"/>
        <v>370214.74111592118</v>
      </c>
      <c r="I7" s="122">
        <f t="shared" si="6"/>
        <v>431161.44554917567</v>
      </c>
    </row>
    <row r="8" spans="1:9" ht="15" x14ac:dyDescent="0.25">
      <c r="A8" s="78">
        <v>2021</v>
      </c>
      <c r="B8" s="98">
        <f>'Input Assumptions'!E24</f>
        <v>9751.9165142814363</v>
      </c>
      <c r="C8" s="98">
        <f t="shared" si="1"/>
        <v>56.045497208515044</v>
      </c>
      <c r="D8" s="150">
        <f t="shared" si="2"/>
        <v>43.014919107535292</v>
      </c>
      <c r="E8" s="147">
        <f t="shared" si="3"/>
        <v>13.030578100979749</v>
      </c>
      <c r="F8" s="144">
        <f t="shared" si="4"/>
        <v>1350.7956755778062</v>
      </c>
      <c r="G8" s="176">
        <f t="shared" si="5"/>
        <v>493040.42158589925</v>
      </c>
      <c r="H8" s="122">
        <f t="shared" si="0"/>
        <v>351531.00651754747</v>
      </c>
      <c r="I8" s="122">
        <f t="shared" si="6"/>
        <v>425300.99871646834</v>
      </c>
    </row>
    <row r="9" spans="1:9" ht="15" x14ac:dyDescent="0.25">
      <c r="A9" s="78">
        <v>2022</v>
      </c>
      <c r="B9" s="98">
        <f>'Input Assumptions'!E25</f>
        <v>9907.9471785099395</v>
      </c>
      <c r="C9" s="98">
        <f t="shared" si="1"/>
        <v>56.942225163851283</v>
      </c>
      <c r="D9" s="150">
        <f t="shared" si="2"/>
        <v>43.703157813255856</v>
      </c>
      <c r="E9" s="147">
        <f t="shared" si="3"/>
        <v>13.239067350595423</v>
      </c>
      <c r="F9" s="144">
        <f t="shared" si="4"/>
        <v>1372.4084063870509</v>
      </c>
      <c r="G9" s="176">
        <f t="shared" si="5"/>
        <v>500929.06833127362</v>
      </c>
      <c r="H9" s="122">
        <f t="shared" si="0"/>
        <v>333790.18936619465</v>
      </c>
      <c r="I9" s="122">
        <f t="shared" si="6"/>
        <v>419520.20844265225</v>
      </c>
    </row>
    <row r="10" spans="1:9" ht="15" x14ac:dyDescent="0.25">
      <c r="A10" s="78">
        <v>2023</v>
      </c>
      <c r="B10" s="98">
        <f>'Input Assumptions'!E26</f>
        <v>10066.474333366099</v>
      </c>
      <c r="C10" s="98">
        <f t="shared" si="1"/>
        <v>57.853300766472906</v>
      </c>
      <c r="D10" s="150">
        <f t="shared" si="2"/>
        <v>44.402408338267954</v>
      </c>
      <c r="E10" s="147">
        <f t="shared" si="3"/>
        <v>13.450892428204952</v>
      </c>
      <c r="F10" s="144">
        <f t="shared" si="4"/>
        <v>1394.366940889244</v>
      </c>
      <c r="G10" s="176">
        <f t="shared" si="5"/>
        <v>508943.93342457409</v>
      </c>
      <c r="H10" s="122">
        <f t="shared" si="0"/>
        <v>316944.70317388204</v>
      </c>
      <c r="I10" s="122">
        <f t="shared" si="6"/>
        <v>413817.99201721814</v>
      </c>
    </row>
    <row r="11" spans="1:9" ht="15" x14ac:dyDescent="0.25">
      <c r="A11" s="78">
        <v>2024</v>
      </c>
      <c r="B11" s="98">
        <f>'Input Assumptions'!E27</f>
        <v>10227.537922699956</v>
      </c>
      <c r="C11" s="98">
        <f t="shared" si="1"/>
        <v>58.77895357873647</v>
      </c>
      <c r="D11" s="150">
        <f t="shared" si="2"/>
        <v>45.11284687168024</v>
      </c>
      <c r="E11" s="147">
        <f t="shared" si="3"/>
        <v>13.66610670705623</v>
      </c>
      <c r="F11" s="144">
        <f t="shared" si="4"/>
        <v>1416.6768119434719</v>
      </c>
      <c r="G11" s="176">
        <f t="shared" si="5"/>
        <v>517087.03635936725</v>
      </c>
      <c r="H11" s="122">
        <f t="shared" si="0"/>
        <v>300949.36301370483</v>
      </c>
      <c r="I11" s="122">
        <f t="shared" si="6"/>
        <v>408193.2814461104</v>
      </c>
    </row>
    <row r="12" spans="1:9" ht="15" x14ac:dyDescent="0.25">
      <c r="A12" s="78">
        <v>2025</v>
      </c>
      <c r="B12" s="98">
        <f>'Input Assumptions'!E28</f>
        <v>10391.178529463155</v>
      </c>
      <c r="C12" s="98">
        <f t="shared" si="1"/>
        <v>59.719416835996256</v>
      </c>
      <c r="D12" s="150">
        <f t="shared" si="2"/>
        <v>45.834652421627126</v>
      </c>
      <c r="E12" s="147">
        <f t="shared" si="3"/>
        <v>13.88476441436913</v>
      </c>
      <c r="F12" s="144">
        <f t="shared" si="4"/>
        <v>1439.3436409345675</v>
      </c>
      <c r="G12" s="176">
        <f t="shared" si="5"/>
        <v>525360.42894111713</v>
      </c>
      <c r="H12" s="122">
        <f t="shared" si="0"/>
        <v>285761.26431955519</v>
      </c>
      <c r="I12" s="122">
        <f t="shared" si="6"/>
        <v>402645.02325169719</v>
      </c>
    </row>
    <row r="13" spans="1:9" ht="15" x14ac:dyDescent="0.25">
      <c r="A13" s="78">
        <v>2026</v>
      </c>
      <c r="B13" s="98">
        <f>'Input Assumptions'!E29</f>
        <v>10557.437385934565</v>
      </c>
      <c r="C13" s="98">
        <f t="shared" si="1"/>
        <v>60.674927505372189</v>
      </c>
      <c r="D13" s="150">
        <f t="shared" si="2"/>
        <v>46.568006860373153</v>
      </c>
      <c r="E13" s="147">
        <f t="shared" si="3"/>
        <v>14.106920644999034</v>
      </c>
      <c r="F13" s="144">
        <f t="shared" si="4"/>
        <v>1462.3731391895203</v>
      </c>
      <c r="G13" s="176">
        <f t="shared" si="5"/>
        <v>533766.19580417487</v>
      </c>
      <c r="H13" s="122">
        <f t="shared" si="0"/>
        <v>271339.6678024935</v>
      </c>
      <c r="I13" s="122">
        <f t="shared" si="6"/>
        <v>397172.17827546044</v>
      </c>
    </row>
    <row r="14" spans="1:9" ht="15" x14ac:dyDescent="0.25">
      <c r="A14" s="78">
        <v>2027</v>
      </c>
      <c r="B14" s="98">
        <f>'Input Assumptions'!E30</f>
        <v>10726.356384109518</v>
      </c>
      <c r="C14" s="98">
        <f t="shared" si="1"/>
        <v>61.645726345458144</v>
      </c>
      <c r="D14" s="150">
        <f t="shared" si="2"/>
        <v>47.313094970139126</v>
      </c>
      <c r="E14" s="147">
        <f t="shared" si="3"/>
        <v>14.33263137531902</v>
      </c>
      <c r="F14" s="144">
        <f t="shared" si="4"/>
        <v>1485.7711094165527</v>
      </c>
      <c r="G14" s="176">
        <f t="shared" si="5"/>
        <v>542306.45493704174</v>
      </c>
      <c r="H14" s="122">
        <f t="shared" si="0"/>
        <v>257645.89017507792</v>
      </c>
      <c r="I14" s="122">
        <f t="shared" si="6"/>
        <v>391773.72148336685</v>
      </c>
    </row>
    <row r="15" spans="1:9" ht="15" x14ac:dyDescent="0.25">
      <c r="A15" s="78">
        <v>2028</v>
      </c>
      <c r="B15" s="98">
        <f>'Input Assumptions'!E31</f>
        <v>10897.978086255271</v>
      </c>
      <c r="C15" s="98">
        <f t="shared" si="1"/>
        <v>62.632057966985478</v>
      </c>
      <c r="D15" s="150">
        <f t="shared" si="2"/>
        <v>48.070104489661354</v>
      </c>
      <c r="E15" s="147">
        <f t="shared" si="3"/>
        <v>14.561953477324124</v>
      </c>
      <c r="F15" s="144">
        <f t="shared" si="4"/>
        <v>1509.5434471672177</v>
      </c>
      <c r="G15" s="176">
        <f t="shared" si="5"/>
        <v>550983.35821603448</v>
      </c>
      <c r="H15" s="122">
        <f t="shared" si="0"/>
        <v>244643.20039054134</v>
      </c>
      <c r="I15" s="122">
        <f t="shared" si="6"/>
        <v>386448.6417738843</v>
      </c>
    </row>
    <row r="16" spans="1:9" ht="15" x14ac:dyDescent="0.25">
      <c r="A16" s="78">
        <v>2029</v>
      </c>
      <c r="B16" s="98">
        <f>'Input Assumptions'!E32</f>
        <v>11072.345735635354</v>
      </c>
      <c r="C16" s="98">
        <f t="shared" si="1"/>
        <v>63.634170894457235</v>
      </c>
      <c r="D16" s="150">
        <f t="shared" si="2"/>
        <v>48.839226161495922</v>
      </c>
      <c r="E16" s="147">
        <f t="shared" si="3"/>
        <v>14.794944732961309</v>
      </c>
      <c r="F16" s="144">
        <f t="shared" si="4"/>
        <v>1533.6961423218927</v>
      </c>
      <c r="G16" s="176">
        <f t="shared" si="5"/>
        <v>559799.09194749082</v>
      </c>
      <c r="H16" s="122">
        <f t="shared" si="0"/>
        <v>232296.72111849522</v>
      </c>
      <c r="I16" s="122">
        <f t="shared" si="6"/>
        <v>381195.94178860809</v>
      </c>
    </row>
    <row r="17" spans="1:9" ht="15" x14ac:dyDescent="0.25">
      <c r="A17" s="78">
        <v>2030</v>
      </c>
      <c r="B17" s="98">
        <f>'Input Assumptions'!E33</f>
        <v>11249.50326740552</v>
      </c>
      <c r="C17" s="98">
        <f t="shared" si="1"/>
        <v>64.652317628768557</v>
      </c>
      <c r="D17" s="150">
        <f t="shared" si="2"/>
        <v>49.620653780079863</v>
      </c>
      <c r="E17" s="147">
        <f t="shared" si="3"/>
        <v>15.031663848688691</v>
      </c>
      <c r="F17" s="144">
        <f t="shared" si="4"/>
        <v>1558.2352805990433</v>
      </c>
      <c r="G17" s="176">
        <f t="shared" si="5"/>
        <v>568755.87741865078</v>
      </c>
      <c r="H17" s="122">
        <f t="shared" si="0"/>
        <v>220573.33519288898</v>
      </c>
      <c r="I17" s="122">
        <f t="shared" si="6"/>
        <v>376014.63772546197</v>
      </c>
    </row>
    <row r="18" spans="1:9" ht="15" x14ac:dyDescent="0.25">
      <c r="A18" s="78">
        <v>2031</v>
      </c>
      <c r="B18" s="98">
        <f>'Input Assumptions'!E34</f>
        <v>11429.495319684007</v>
      </c>
      <c r="C18" s="98">
        <f t="shared" si="1"/>
        <v>65.686754710828851</v>
      </c>
      <c r="D18" s="150">
        <f t="shared" si="2"/>
        <v>50.41458424056114</v>
      </c>
      <c r="E18" s="147">
        <f t="shared" si="3"/>
        <v>15.272170470267708</v>
      </c>
      <c r="F18" s="144">
        <f t="shared" si="4"/>
        <v>1583.1670450886279</v>
      </c>
      <c r="G18" s="176">
        <f t="shared" si="5"/>
        <v>577855.97145734914</v>
      </c>
      <c r="H18" s="122">
        <f t="shared" si="0"/>
        <v>209441.59678128519</v>
      </c>
      <c r="I18" s="122">
        <f t="shared" si="6"/>
        <v>370903.75915443624</v>
      </c>
    </row>
    <row r="19" spans="1:9" ht="15" x14ac:dyDescent="0.25">
      <c r="A19" s="78">
        <v>2032</v>
      </c>
      <c r="B19" s="98">
        <f>'Input Assumptions'!E35</f>
        <v>11612.367244798952</v>
      </c>
      <c r="C19" s="98">
        <f t="shared" si="1"/>
        <v>66.737742786202105</v>
      </c>
      <c r="D19" s="150">
        <f t="shared" si="2"/>
        <v>51.221217588410113</v>
      </c>
      <c r="E19" s="147">
        <f t="shared" si="3"/>
        <v>15.51652519779199</v>
      </c>
      <c r="F19" s="144">
        <f t="shared" si="4"/>
        <v>1608.4977178100457</v>
      </c>
      <c r="G19" s="176">
        <f t="shared" si="5"/>
        <v>587101.66700066673</v>
      </c>
      <c r="H19" s="122">
        <f t="shared" si="0"/>
        <v>198871.64703718299</v>
      </c>
      <c r="I19" s="122">
        <f t="shared" si="6"/>
        <v>365862.34883583232</v>
      </c>
    </row>
    <row r="20" spans="1:9" ht="15" x14ac:dyDescent="0.25">
      <c r="A20" s="78">
        <v>2033</v>
      </c>
      <c r="B20" s="98">
        <f>'Input Assumptions'!E36</f>
        <v>11798.165120715736</v>
      </c>
      <c r="C20" s="98">
        <f t="shared" si="1"/>
        <v>67.805546670781354</v>
      </c>
      <c r="D20" s="150">
        <f t="shared" si="2"/>
        <v>52.040757069824686</v>
      </c>
      <c r="E20" s="147">
        <f t="shared" si="3"/>
        <v>15.764789600956666</v>
      </c>
      <c r="F20" s="144">
        <f t="shared" si="4"/>
        <v>1634.2336812950068</v>
      </c>
      <c r="G20" s="176">
        <f t="shared" si="5"/>
        <v>596495.29367267748</v>
      </c>
      <c r="H20" s="122">
        <f t="shared" si="0"/>
        <v>188835.13400913824</v>
      </c>
      <c r="I20" s="122">
        <f t="shared" si="6"/>
        <v>360889.46254097641</v>
      </c>
    </row>
    <row r="21" spans="1:9" ht="15" x14ac:dyDescent="0.25">
      <c r="A21" s="78">
        <v>2034</v>
      </c>
      <c r="B21" s="98">
        <f>'Input Assumptions'!E37</f>
        <v>11986.935762647186</v>
      </c>
      <c r="C21" s="98">
        <f t="shared" si="1"/>
        <v>68.890435417513842</v>
      </c>
      <c r="D21" s="150">
        <f t="shared" si="2"/>
        <v>52.87340918294187</v>
      </c>
      <c r="E21" s="147">
        <f t="shared" si="3"/>
        <v>16.017026234571969</v>
      </c>
      <c r="F21" s="144">
        <f t="shared" si="4"/>
        <v>1660.3814201957266</v>
      </c>
      <c r="G21" s="176">
        <f t="shared" si="5"/>
        <v>606039.21837144019</v>
      </c>
      <c r="H21" s="122">
        <f t="shared" si="0"/>
        <v>179305.13659185459</v>
      </c>
      <c r="I21" s="122">
        <f t="shared" si="6"/>
        <v>355984.16887537081</v>
      </c>
    </row>
    <row r="22" spans="1:9" ht="15" x14ac:dyDescent="0.25">
      <c r="A22" s="78">
        <v>2035</v>
      </c>
      <c r="B22" s="98">
        <f>'Input Assumptions'!E38</f>
        <v>12178.726734849542</v>
      </c>
      <c r="C22" s="98">
        <f t="shared" si="1"/>
        <v>69.992682384194069</v>
      </c>
      <c r="D22" s="150">
        <f t="shared" si="2"/>
        <v>53.719383729868944</v>
      </c>
      <c r="E22" s="147">
        <f t="shared" si="3"/>
        <v>16.273298654325121</v>
      </c>
      <c r="F22" s="144">
        <f t="shared" si="4"/>
        <v>1686.9475229188583</v>
      </c>
      <c r="G22" s="176">
        <f t="shared" si="5"/>
        <v>615735.84586538328</v>
      </c>
      <c r="H22" s="122">
        <f t="shared" si="0"/>
        <v>170256.09231525633</v>
      </c>
      <c r="I22" s="122">
        <f t="shared" si="6"/>
        <v>351145.54910424928</v>
      </c>
    </row>
    <row r="23" spans="1:9" ht="15" x14ac:dyDescent="0.25">
      <c r="A23" s="78">
        <v>2036</v>
      </c>
      <c r="B23" s="98">
        <f>'Input Assumptions'!E39</f>
        <v>12373.586362607135</v>
      </c>
      <c r="C23" s="98">
        <f t="shared" si="1"/>
        <v>71.112565302341181</v>
      </c>
      <c r="D23" s="150">
        <f t="shared" si="2"/>
        <v>54.578893869546853</v>
      </c>
      <c r="E23" s="147">
        <f t="shared" si="3"/>
        <v>16.533671432794325</v>
      </c>
      <c r="F23" s="144">
        <f t="shared" si="4"/>
        <v>1713.9386832855603</v>
      </c>
      <c r="G23" s="176">
        <f t="shared" si="5"/>
        <v>625587.61939922953</v>
      </c>
      <c r="H23" s="122">
        <f t="shared" si="0"/>
        <v>161663.72877785092</v>
      </c>
      <c r="I23" s="122">
        <f t="shared" si="6"/>
        <v>346372.69698050228</v>
      </c>
    </row>
    <row r="24" spans="1:9" ht="15" x14ac:dyDescent="0.25">
      <c r="A24" s="78">
        <v>2037</v>
      </c>
      <c r="B24" s="98">
        <f>'Input Assumptions'!E40</f>
        <v>12571.56374440885</v>
      </c>
      <c r="C24" s="98">
        <f t="shared" si="1"/>
        <v>72.250366347178641</v>
      </c>
      <c r="D24" s="150">
        <f t="shared" si="2"/>
        <v>55.452156171459606</v>
      </c>
      <c r="E24" s="147">
        <f t="shared" si="3"/>
        <v>16.798210175719035</v>
      </c>
      <c r="F24" s="144">
        <f t="shared" si="4"/>
        <v>1741.3617022181293</v>
      </c>
      <c r="G24" s="176">
        <f t="shared" si="5"/>
        <v>635597.02130961721</v>
      </c>
      <c r="H24" s="122">
        <f t="shared" si="0"/>
        <v>153504.99854046403</v>
      </c>
      <c r="I24" s="122">
        <f t="shared" si="6"/>
        <v>341664.71857494209</v>
      </c>
    </row>
    <row r="25" spans="1:9" ht="15" x14ac:dyDescent="0.25">
      <c r="A25" s="78">
        <v>2038</v>
      </c>
      <c r="B25" s="98">
        <f>'Input Assumptions'!E41</f>
        <v>12772.70876431939</v>
      </c>
      <c r="C25" s="98">
        <f t="shared" si="1"/>
        <v>73.406372208733487</v>
      </c>
      <c r="D25" s="150">
        <f t="shared" si="2"/>
        <v>56.339390670202945</v>
      </c>
      <c r="E25" s="147">
        <f t="shared" si="3"/>
        <v>17.066981538530538</v>
      </c>
      <c r="F25" s="144">
        <f t="shared" si="4"/>
        <v>1769.2234894536191</v>
      </c>
      <c r="G25" s="176">
        <f t="shared" si="5"/>
        <v>645766.57365057094</v>
      </c>
      <c r="H25" s="122">
        <f t="shared" si="0"/>
        <v>145758.01730571163</v>
      </c>
      <c r="I25" s="122">
        <f t="shared" si="6"/>
        <v>337020.73210887483</v>
      </c>
    </row>
    <row r="26" spans="1:9" ht="15" x14ac:dyDescent="0.25">
      <c r="A26" s="78">
        <v>2039</v>
      </c>
      <c r="B26" s="98">
        <f>'Input Assumptions'!E42</f>
        <v>12977.072104548501</v>
      </c>
      <c r="C26" s="98">
        <f t="shared" si="1"/>
        <v>74.580874164073222</v>
      </c>
      <c r="D26" s="150">
        <f t="shared" si="2"/>
        <v>57.240820920926197</v>
      </c>
      <c r="E26" s="147">
        <f t="shared" si="3"/>
        <v>17.340053243147025</v>
      </c>
      <c r="F26" s="144">
        <f t="shared" si="4"/>
        <v>1797.5310652848771</v>
      </c>
      <c r="G26" s="176">
        <f t="shared" si="5"/>
        <v>656098.83882898011</v>
      </c>
      <c r="H26" s="122">
        <f t="shared" si="0"/>
        <v>138402.005217386</v>
      </c>
      <c r="I26" s="122">
        <f t="shared" si="6"/>
        <v>332439.86778894835</v>
      </c>
    </row>
    <row r="27" spans="1:9" ht="15.75" thickBot="1" x14ac:dyDescent="0.3">
      <c r="A27" s="96">
        <v>2040</v>
      </c>
      <c r="B27" s="99">
        <f>'Input Assumptions'!E43</f>
        <v>13184.705258221278</v>
      </c>
      <c r="C27" s="99">
        <f t="shared" si="1"/>
        <v>75.774168150698401</v>
      </c>
      <c r="D27" s="151">
        <f t="shared" si="2"/>
        <v>58.156674055661021</v>
      </c>
      <c r="E27" s="148">
        <f t="shared" si="3"/>
        <v>17.61749409503738</v>
      </c>
      <c r="F27" s="145">
        <f t="shared" si="4"/>
        <v>1826.2915623294352</v>
      </c>
      <c r="G27" s="177">
        <f t="shared" si="5"/>
        <v>666596.42025024386</v>
      </c>
      <c r="H27" s="122">
        <f t="shared" si="0"/>
        <v>131417.23112230297</v>
      </c>
      <c r="I27" s="122">
        <f t="shared" si="6"/>
        <v>327921.2676442443</v>
      </c>
    </row>
    <row r="28" spans="1:9" ht="15.75" thickBot="1" x14ac:dyDescent="0.3">
      <c r="A28" s="119" t="s">
        <v>32</v>
      </c>
      <c r="B28" s="134">
        <f t="shared" ref="B28:F28" si="7">SUM(B3:B27)</f>
        <v>274237.78389705112</v>
      </c>
      <c r="C28" s="134">
        <f t="shared" si="7"/>
        <v>1576.0792177991736</v>
      </c>
      <c r="D28" s="134">
        <f t="shared" si="7"/>
        <v>1209.6407996608655</v>
      </c>
      <c r="E28" s="134">
        <f t="shared" si="7"/>
        <v>366.43841813830784</v>
      </c>
      <c r="F28" s="134">
        <f t="shared" si="7"/>
        <v>37986.298593274318</v>
      </c>
      <c r="G28" s="134">
        <f>SUM(G3:G27)</f>
        <v>13864998.986545129</v>
      </c>
      <c r="H28" s="120">
        <f>SUM(H3:H27)</f>
        <v>6551511.3131950488</v>
      </c>
      <c r="I28" s="120">
        <f>SUM(I3:I27)</f>
        <v>9708330.7599042449</v>
      </c>
    </row>
    <row r="29" spans="1:9" ht="15" x14ac:dyDescent="0.25">
      <c r="H29" s="121"/>
    </row>
    <row r="30" spans="1:9" ht="15" x14ac:dyDescent="0.25">
      <c r="B30" s="431" t="s">
        <v>20</v>
      </c>
      <c r="C30" s="431"/>
      <c r="D30" s="431"/>
      <c r="E30" s="431"/>
    </row>
    <row r="31" spans="1:9" ht="15" x14ac:dyDescent="0.25">
      <c r="B31" s="405" t="s">
        <v>35</v>
      </c>
      <c r="C31" s="405"/>
      <c r="D31" s="405"/>
      <c r="E31" s="45">
        <v>13</v>
      </c>
    </row>
    <row r="32" spans="1:9" ht="15" x14ac:dyDescent="0.25">
      <c r="B32" s="405" t="s">
        <v>36</v>
      </c>
      <c r="C32" s="405"/>
      <c r="D32" s="405"/>
      <c r="E32" s="110">
        <f>'Input Assumptions'!G12</f>
        <v>5.7471264367817158E-3</v>
      </c>
    </row>
    <row r="33" spans="2:12" ht="15" x14ac:dyDescent="0.25">
      <c r="B33" s="405" t="s">
        <v>31</v>
      </c>
      <c r="C33" s="405"/>
      <c r="D33" s="405"/>
      <c r="E33" s="44">
        <v>7.0000000000000007E-2</v>
      </c>
    </row>
    <row r="34" spans="2:12" ht="15" x14ac:dyDescent="0.25">
      <c r="B34" s="405" t="s">
        <v>83</v>
      </c>
      <c r="C34" s="405"/>
      <c r="D34" s="405"/>
      <c r="E34" s="174">
        <f>C43</f>
        <v>22.44</v>
      </c>
    </row>
    <row r="35" spans="2:12" x14ac:dyDescent="0.3">
      <c r="B35" s="405" t="s">
        <v>37</v>
      </c>
      <c r="C35" s="405"/>
      <c r="D35" s="405"/>
      <c r="E35" s="236">
        <f>F43</f>
        <v>29.587397260273971</v>
      </c>
    </row>
    <row r="36" spans="2:12" ht="15" thickBot="1" x14ac:dyDescent="0.35"/>
    <row r="37" spans="2:12" ht="18" thickBot="1" x14ac:dyDescent="0.35">
      <c r="B37" s="356" t="s">
        <v>120</v>
      </c>
      <c r="C37" s="357"/>
      <c r="D37" s="357"/>
      <c r="E37" s="357"/>
      <c r="F37" s="357"/>
      <c r="G37" s="358"/>
    </row>
    <row r="38" spans="2:12" ht="15" thickBot="1" x14ac:dyDescent="0.35">
      <c r="B38" s="370" t="s">
        <v>21</v>
      </c>
      <c r="C38" s="371"/>
      <c r="D38" s="371"/>
      <c r="E38" s="371"/>
      <c r="F38" s="371"/>
      <c r="G38" s="372"/>
    </row>
    <row r="39" spans="2:12" ht="15" thickBot="1" x14ac:dyDescent="0.35">
      <c r="B39" s="373" t="s">
        <v>22</v>
      </c>
      <c r="C39" s="374"/>
      <c r="D39" s="375"/>
      <c r="E39" s="373" t="s">
        <v>23</v>
      </c>
      <c r="F39" s="374"/>
      <c r="G39" s="375"/>
    </row>
    <row r="40" spans="2:12" ht="16.2" x14ac:dyDescent="0.3">
      <c r="B40" s="27" t="s">
        <v>24</v>
      </c>
      <c r="C40" s="28">
        <v>20.399999999999999</v>
      </c>
      <c r="D40" s="29" t="s">
        <v>25</v>
      </c>
      <c r="E40" s="30" t="s">
        <v>24</v>
      </c>
      <c r="F40" s="28">
        <v>27.2</v>
      </c>
      <c r="G40" s="31" t="s">
        <v>25</v>
      </c>
      <c r="H40" s="378" t="s">
        <v>206</v>
      </c>
      <c r="I40" s="379"/>
      <c r="J40" s="379"/>
      <c r="K40" s="379"/>
      <c r="L40" s="380"/>
    </row>
    <row r="41" spans="2:12" x14ac:dyDescent="0.3">
      <c r="B41" s="27" t="s">
        <v>26</v>
      </c>
      <c r="C41" s="8">
        <v>1.1000000000000001</v>
      </c>
      <c r="D41" s="32"/>
      <c r="E41" s="30" t="s">
        <v>26</v>
      </c>
      <c r="F41" s="8">
        <v>1.05</v>
      </c>
      <c r="G41" s="33"/>
      <c r="H41" s="381"/>
      <c r="I41" s="382"/>
      <c r="J41" s="382"/>
      <c r="K41" s="382"/>
      <c r="L41" s="383"/>
    </row>
    <row r="42" spans="2:12" ht="16.2" x14ac:dyDescent="0.3">
      <c r="B42" s="34"/>
      <c r="C42" s="35"/>
      <c r="D42" s="33"/>
      <c r="E42" s="27" t="s">
        <v>27</v>
      </c>
      <c r="F42" s="36">
        <f>0.03/8760 * 300000</f>
        <v>1.0273972602739725</v>
      </c>
      <c r="G42" s="33"/>
      <c r="H42" s="381"/>
      <c r="I42" s="382"/>
      <c r="J42" s="382"/>
      <c r="K42" s="382"/>
      <c r="L42" s="383"/>
    </row>
    <row r="43" spans="2:12" ht="15" thickBot="1" x14ac:dyDescent="0.35">
      <c r="B43" s="37" t="s">
        <v>28</v>
      </c>
      <c r="C43" s="38">
        <f>C40*C41</f>
        <v>22.44</v>
      </c>
      <c r="D43" s="39" t="s">
        <v>29</v>
      </c>
      <c r="E43" s="37" t="s">
        <v>28</v>
      </c>
      <c r="F43" s="40">
        <f>F40*F41+F42</f>
        <v>29.587397260273971</v>
      </c>
      <c r="G43" s="39" t="s">
        <v>29</v>
      </c>
      <c r="H43" s="384"/>
      <c r="I43" s="385"/>
      <c r="J43" s="385"/>
      <c r="K43" s="385"/>
      <c r="L43" s="386"/>
    </row>
  </sheetData>
  <mergeCells count="12">
    <mergeCell ref="A1:I1"/>
    <mergeCell ref="B39:D39"/>
    <mergeCell ref="E39:G39"/>
    <mergeCell ref="H40:L43"/>
    <mergeCell ref="B35:D35"/>
    <mergeCell ref="B30:E30"/>
    <mergeCell ref="B31:D31"/>
    <mergeCell ref="B32:D32"/>
    <mergeCell ref="B33:D33"/>
    <mergeCell ref="B34:D34"/>
    <mergeCell ref="B37:G37"/>
    <mergeCell ref="B38:G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2"/>
  <sheetViews>
    <sheetView topLeftCell="E1" workbookViewId="0">
      <selection activeCell="M24" sqref="M24"/>
    </sheetView>
  </sheetViews>
  <sheetFormatPr defaultRowHeight="14.4" x14ac:dyDescent="0.3"/>
  <cols>
    <col min="3" max="3" width="11.109375" customWidth="1"/>
    <col min="4" max="4" width="25" customWidth="1"/>
    <col min="5" max="5" width="25.6640625" customWidth="1"/>
    <col min="6" max="6" width="21" customWidth="1"/>
    <col min="7" max="7" width="26.33203125" customWidth="1"/>
    <col min="8" max="8" width="16.6640625" customWidth="1"/>
    <col min="9" max="9" width="12.5546875" customWidth="1"/>
    <col min="10" max="10" width="22.33203125" customWidth="1"/>
    <col min="11" max="11" width="22" customWidth="1"/>
    <col min="12" max="12" width="21" bestFit="1" customWidth="1"/>
    <col min="13" max="13" width="25.5546875" customWidth="1"/>
    <col min="14" max="14" width="19.6640625" customWidth="1"/>
    <col min="15" max="15" width="19.88671875" customWidth="1"/>
    <col min="16" max="16" width="20.44140625" customWidth="1"/>
  </cols>
  <sheetData>
    <row r="1" spans="2:16" ht="19.5" thickBot="1" x14ac:dyDescent="0.35">
      <c r="J1" s="433" t="s">
        <v>203</v>
      </c>
      <c r="K1" s="434"/>
      <c r="L1" s="434"/>
      <c r="M1" s="434"/>
      <c r="N1" s="434"/>
      <c r="O1" s="434"/>
      <c r="P1" s="434"/>
    </row>
    <row r="2" spans="2:16" ht="15" customHeight="1" thickBot="1" x14ac:dyDescent="0.35">
      <c r="B2" s="408" t="s">
        <v>0</v>
      </c>
      <c r="C2" s="435" t="s">
        <v>33</v>
      </c>
      <c r="D2" s="439" t="s">
        <v>66</v>
      </c>
      <c r="E2" s="440"/>
      <c r="F2" s="440"/>
      <c r="G2" s="440"/>
      <c r="H2" s="441"/>
      <c r="J2" s="437" t="s">
        <v>199</v>
      </c>
      <c r="K2" s="234">
        <v>7.0000000000000007E-2</v>
      </c>
      <c r="L2" s="235">
        <v>0.03</v>
      </c>
      <c r="M2" s="437" t="s">
        <v>200</v>
      </c>
      <c r="N2" s="437" t="s">
        <v>216</v>
      </c>
      <c r="O2" s="234">
        <v>7.0000000000000007E-2</v>
      </c>
      <c r="P2" s="235">
        <v>0.03</v>
      </c>
    </row>
    <row r="3" spans="2:16" ht="48.75" customHeight="1" thickBot="1" x14ac:dyDescent="0.35">
      <c r="B3" s="409"/>
      <c r="C3" s="436"/>
      <c r="D3" s="101" t="s">
        <v>186</v>
      </c>
      <c r="E3" s="101" t="s">
        <v>187</v>
      </c>
      <c r="F3" s="152" t="s">
        <v>65</v>
      </c>
      <c r="G3" s="101" t="s">
        <v>174</v>
      </c>
      <c r="H3" s="102" t="s">
        <v>82</v>
      </c>
      <c r="J3" s="438"/>
      <c r="K3" s="213" t="s">
        <v>81</v>
      </c>
      <c r="L3" s="213" t="s">
        <v>215</v>
      </c>
      <c r="M3" s="438"/>
      <c r="N3" s="438"/>
      <c r="O3" s="213" t="s">
        <v>217</v>
      </c>
      <c r="P3" s="213" t="s">
        <v>218</v>
      </c>
    </row>
    <row r="4" spans="2:16" ht="15" x14ac:dyDescent="0.25">
      <c r="B4" s="1">
        <v>2016</v>
      </c>
      <c r="C4" s="103">
        <f>'Input Assumptions'!D19</f>
        <v>630549.91999999993</v>
      </c>
      <c r="D4" s="156">
        <f>C4*($L$40+$L$36)*76.75%/$L$64</f>
        <v>218.53597550985197</v>
      </c>
      <c r="E4" s="104">
        <f>C4*($L$50+$L$46)*23.25%/$L$64</f>
        <v>76.412414114236185</v>
      </c>
      <c r="F4" s="153">
        <v>43</v>
      </c>
      <c r="G4" s="221">
        <f t="shared" ref="G4:G28" si="0">(D4+E4)*F4*$M$69</f>
        <v>380.48342261507366</v>
      </c>
      <c r="H4" s="218">
        <f>G4*365</f>
        <v>138876.44925450187</v>
      </c>
      <c r="J4" s="100">
        <f>H4</f>
        <v>138876.44925450187</v>
      </c>
      <c r="K4" s="100">
        <f>J4/(1+$K$2)^(B4-$B$4)</f>
        <v>138876.44925450187</v>
      </c>
      <c r="L4" s="100">
        <f>J4/(1+$K$2)^(B4-$B$4)</f>
        <v>138876.44925450187</v>
      </c>
      <c r="M4" s="100">
        <f t="shared" ref="M4:M28" si="1">G32+G60+G88</f>
        <v>293584.50514749956</v>
      </c>
      <c r="N4" s="100">
        <f t="shared" ref="N4:N28" si="2">J4+M4</f>
        <v>432460.95440200146</v>
      </c>
      <c r="O4" s="100">
        <f>M4/(1+$O$2)^(B4-$B$4)</f>
        <v>293584.50514749956</v>
      </c>
      <c r="P4" s="100">
        <f>M4/(1+$P$2)^(B4-$B$4)</f>
        <v>293584.50514749956</v>
      </c>
    </row>
    <row r="5" spans="2:16" ht="15" x14ac:dyDescent="0.25">
      <c r="B5" s="2">
        <v>2017</v>
      </c>
      <c r="C5" s="105">
        <f>'Input Assumptions'!D20</f>
        <v>640638.71872</v>
      </c>
      <c r="D5" s="157">
        <f t="shared" ref="D5:D28" si="3">C5*($L$40+$L$36)*76.75%/$L$64</f>
        <v>222.03255111800962</v>
      </c>
      <c r="E5" s="106">
        <f t="shared" ref="E5:E28" si="4">C5*($L$50+$L$46)*23.25%/$L$64</f>
        <v>77.635012740063999</v>
      </c>
      <c r="F5" s="154">
        <v>44</v>
      </c>
      <c r="G5" s="222">
        <f t="shared" si="0"/>
        <v>395.56118429265717</v>
      </c>
      <c r="H5" s="219">
        <f t="shared" ref="H5:H28" si="5">G5*365</f>
        <v>144379.83226681987</v>
      </c>
      <c r="J5" s="100">
        <f t="shared" ref="J5:J28" si="6">H5</f>
        <v>144379.83226681987</v>
      </c>
      <c r="K5" s="100">
        <f t="shared" ref="K5:K28" si="7">J5/(1+$K$2)^(B5-$B$4)</f>
        <v>134934.42267927091</v>
      </c>
      <c r="L5" s="100">
        <f t="shared" ref="L5:L28" si="8">J5/(1+$K$2)^(B5-$B$4)</f>
        <v>134934.42267927091</v>
      </c>
      <c r="M5" s="100">
        <f t="shared" si="1"/>
        <v>298281.85722985951</v>
      </c>
      <c r="N5" s="100">
        <f t="shared" si="2"/>
        <v>442661.68949667935</v>
      </c>
      <c r="O5" s="100">
        <f t="shared" ref="O5:O28" si="9">M5/(1+$O$2)^(B5-$B$4)</f>
        <v>278768.09086902754</v>
      </c>
      <c r="P5" s="100">
        <f t="shared" ref="P5:P28" si="10">M5/(1+$P$2)^(B5-$B$4)</f>
        <v>289594.03614549467</v>
      </c>
    </row>
    <row r="6" spans="2:16" ht="15" x14ac:dyDescent="0.25">
      <c r="B6" s="2">
        <v>2018</v>
      </c>
      <c r="C6" s="105">
        <f>'Input Assumptions'!D21</f>
        <v>650888.93821952003</v>
      </c>
      <c r="D6" s="157">
        <f t="shared" si="3"/>
        <v>225.58507193589779</v>
      </c>
      <c r="E6" s="106">
        <f t="shared" si="4"/>
        <v>78.877172943905023</v>
      </c>
      <c r="F6" s="154">
        <v>45</v>
      </c>
      <c r="G6" s="222">
        <f t="shared" si="0"/>
        <v>411.02403058773376</v>
      </c>
      <c r="H6" s="219">
        <f t="shared" si="5"/>
        <v>150023.77116452283</v>
      </c>
      <c r="J6" s="100">
        <f t="shared" si="6"/>
        <v>150023.77116452283</v>
      </c>
      <c r="K6" s="100">
        <f t="shared" si="7"/>
        <v>131036.57189669213</v>
      </c>
      <c r="L6" s="100">
        <f t="shared" si="8"/>
        <v>131036.57189669213</v>
      </c>
      <c r="M6" s="100">
        <f t="shared" si="1"/>
        <v>303054.36694553727</v>
      </c>
      <c r="N6" s="100">
        <f t="shared" si="2"/>
        <v>453078.13811006013</v>
      </c>
      <c r="O6" s="100">
        <f t="shared" si="9"/>
        <v>264699.42086255329</v>
      </c>
      <c r="P6" s="100">
        <f t="shared" si="10"/>
        <v>285657.80652798311</v>
      </c>
    </row>
    <row r="7" spans="2:16" ht="15" x14ac:dyDescent="0.25">
      <c r="B7" s="2">
        <v>2019</v>
      </c>
      <c r="C7" s="105">
        <f>'Input Assumptions'!D22</f>
        <v>661303.16123103234</v>
      </c>
      <c r="D7" s="157">
        <f t="shared" si="3"/>
        <v>229.19443308687215</v>
      </c>
      <c r="E7" s="106">
        <f t="shared" si="4"/>
        <v>80.139207711007487</v>
      </c>
      <c r="F7" s="154">
        <v>46</v>
      </c>
      <c r="G7" s="222">
        <f t="shared" si="0"/>
        <v>426.8804243010739</v>
      </c>
      <c r="H7" s="219">
        <f t="shared" si="5"/>
        <v>155811.35486989198</v>
      </c>
      <c r="J7" s="100">
        <f t="shared" si="6"/>
        <v>155811.35486989198</v>
      </c>
      <c r="K7" s="100">
        <f t="shared" si="7"/>
        <v>127188.47817577992</v>
      </c>
      <c r="L7" s="100">
        <f t="shared" si="8"/>
        <v>127188.47817577992</v>
      </c>
      <c r="M7" s="100">
        <f t="shared" si="1"/>
        <v>307903.23681666591</v>
      </c>
      <c r="N7" s="100">
        <f t="shared" si="2"/>
        <v>463714.59168655786</v>
      </c>
      <c r="O7" s="100">
        <f t="shared" si="9"/>
        <v>251340.75850126558</v>
      </c>
      <c r="P7" s="100">
        <f t="shared" si="10"/>
        <v>281775.07906061248</v>
      </c>
    </row>
    <row r="8" spans="2:16" ht="15" x14ac:dyDescent="0.25">
      <c r="B8" s="2">
        <v>2020</v>
      </c>
      <c r="C8" s="105">
        <f>'Input Assumptions'!D23</f>
        <v>671884.01181072893</v>
      </c>
      <c r="D8" s="157">
        <f t="shared" si="3"/>
        <v>232.86154401626212</v>
      </c>
      <c r="E8" s="106">
        <f t="shared" si="4"/>
        <v>81.42143503438362</v>
      </c>
      <c r="F8" s="154">
        <v>47</v>
      </c>
      <c r="G8" s="222">
        <f t="shared" si="0"/>
        <v>443.13900046141049</v>
      </c>
      <c r="H8" s="219">
        <f t="shared" si="5"/>
        <v>161745.73516841483</v>
      </c>
      <c r="J8" s="100">
        <f t="shared" si="6"/>
        <v>161745.73516841483</v>
      </c>
      <c r="K8" s="100">
        <f t="shared" si="7"/>
        <v>123395.04692909069</v>
      </c>
      <c r="L8" s="100">
        <f t="shared" si="8"/>
        <v>123395.04692909069</v>
      </c>
      <c r="M8" s="100">
        <f t="shared" si="1"/>
        <v>312829.68860573252</v>
      </c>
      <c r="N8" s="100">
        <f t="shared" si="2"/>
        <v>474575.42377414735</v>
      </c>
      <c r="O8" s="100">
        <f t="shared" si="9"/>
        <v>238656.27162363159</v>
      </c>
      <c r="P8" s="100">
        <f t="shared" si="10"/>
        <v>277945.12652969151</v>
      </c>
    </row>
    <row r="9" spans="2:16" ht="15" x14ac:dyDescent="0.25">
      <c r="B9" s="2">
        <v>2021</v>
      </c>
      <c r="C9" s="105">
        <f>'Input Assumptions'!D24</f>
        <v>682634.15599970066</v>
      </c>
      <c r="D9" s="157">
        <f t="shared" si="3"/>
        <v>236.58732872052235</v>
      </c>
      <c r="E9" s="106">
        <f t="shared" si="4"/>
        <v>82.724177994933768</v>
      </c>
      <c r="F9" s="154">
        <v>47</v>
      </c>
      <c r="G9" s="222">
        <f t="shared" si="0"/>
        <v>450.22922446879312</v>
      </c>
      <c r="H9" s="219">
        <f t="shared" si="5"/>
        <v>164333.6669311095</v>
      </c>
      <c r="J9" s="100">
        <f t="shared" si="6"/>
        <v>164333.6669311095</v>
      </c>
      <c r="K9" s="100">
        <f t="shared" si="7"/>
        <v>117167.63334575342</v>
      </c>
      <c r="L9" s="100">
        <f t="shared" si="8"/>
        <v>117167.63334575342</v>
      </c>
      <c r="M9" s="100">
        <f t="shared" si="1"/>
        <v>317834.96362342429</v>
      </c>
      <c r="N9" s="100">
        <f t="shared" si="2"/>
        <v>482168.6305545338</v>
      </c>
      <c r="O9" s="100">
        <f t="shared" si="9"/>
        <v>226611.936420196</v>
      </c>
      <c r="P9" s="100">
        <f t="shared" si="10"/>
        <v>274167.23160598706</v>
      </c>
    </row>
    <row r="10" spans="2:16" ht="15" x14ac:dyDescent="0.25">
      <c r="B10" s="2">
        <v>2022</v>
      </c>
      <c r="C10" s="105">
        <f>'Input Assumptions'!D25</f>
        <v>693556.30249569588</v>
      </c>
      <c r="D10" s="157">
        <f t="shared" si="3"/>
        <v>240.37272598005072</v>
      </c>
      <c r="E10" s="106">
        <f t="shared" si="4"/>
        <v>84.0477648428527</v>
      </c>
      <c r="F10" s="154">
        <v>49</v>
      </c>
      <c r="G10" s="222">
        <f t="shared" si="0"/>
        <v>476.89812150966799</v>
      </c>
      <c r="H10" s="219">
        <f t="shared" si="5"/>
        <v>174067.81435102882</v>
      </c>
      <c r="J10" s="100">
        <f t="shared" si="6"/>
        <v>174067.81435102882</v>
      </c>
      <c r="K10" s="100">
        <f t="shared" si="7"/>
        <v>115988.7345095444</v>
      </c>
      <c r="L10" s="100">
        <f t="shared" si="8"/>
        <v>115988.7345095444</v>
      </c>
      <c r="M10" s="100">
        <f t="shared" si="1"/>
        <v>322920.32304139913</v>
      </c>
      <c r="N10" s="100">
        <f t="shared" si="2"/>
        <v>496988.13739242795</v>
      </c>
      <c r="O10" s="100">
        <f t="shared" si="9"/>
        <v>215175.44617095252</v>
      </c>
      <c r="P10" s="100">
        <f t="shared" si="10"/>
        <v>270440.68671037169</v>
      </c>
    </row>
    <row r="11" spans="2:16" ht="15" x14ac:dyDescent="0.25">
      <c r="B11" s="2">
        <v>2023</v>
      </c>
      <c r="C11" s="105">
        <f>'Input Assumptions'!D26</f>
        <v>704653.20333562698</v>
      </c>
      <c r="D11" s="157">
        <f t="shared" si="3"/>
        <v>244.21868959573149</v>
      </c>
      <c r="E11" s="106">
        <f t="shared" si="4"/>
        <v>85.392529080338349</v>
      </c>
      <c r="F11" s="154">
        <v>50</v>
      </c>
      <c r="G11" s="222">
        <f t="shared" si="0"/>
        <v>494.41682801410474</v>
      </c>
      <c r="H11" s="219">
        <f t="shared" si="5"/>
        <v>180462.14222514824</v>
      </c>
      <c r="J11" s="100">
        <f t="shared" si="6"/>
        <v>180462.14222514824</v>
      </c>
      <c r="K11" s="100">
        <f t="shared" si="7"/>
        <v>112382.75249065144</v>
      </c>
      <c r="L11" s="100">
        <f t="shared" si="8"/>
        <v>112382.75249065144</v>
      </c>
      <c r="M11" s="100">
        <f t="shared" si="1"/>
        <v>328087.0482100615</v>
      </c>
      <c r="N11" s="100">
        <f t="shared" si="2"/>
        <v>508549.19043520978</v>
      </c>
      <c r="O11" s="100">
        <f t="shared" si="9"/>
        <v>204316.1245884932</v>
      </c>
      <c r="P11" s="100">
        <f t="shared" si="10"/>
        <v>266764.79388129868</v>
      </c>
    </row>
    <row r="12" spans="2:16" ht="15" x14ac:dyDescent="0.25">
      <c r="B12" s="2">
        <v>2024</v>
      </c>
      <c r="C12" s="105">
        <f>'Input Assumptions'!D27</f>
        <v>715927.65458899701</v>
      </c>
      <c r="D12" s="157">
        <f t="shared" si="3"/>
        <v>248.12618862926323</v>
      </c>
      <c r="E12" s="106">
        <f t="shared" si="4"/>
        <v>86.758809545623762</v>
      </c>
      <c r="F12" s="154">
        <v>51</v>
      </c>
      <c r="G12" s="222">
        <f t="shared" si="0"/>
        <v>512.37404720757706</v>
      </c>
      <c r="H12" s="219">
        <f t="shared" si="5"/>
        <v>187016.52723076564</v>
      </c>
      <c r="J12" s="100">
        <f t="shared" si="6"/>
        <v>187016.52723076564</v>
      </c>
      <c r="K12" s="100">
        <f t="shared" si="7"/>
        <v>108845.32155244103</v>
      </c>
      <c r="L12" s="100">
        <f t="shared" si="8"/>
        <v>108845.32155244103</v>
      </c>
      <c r="M12" s="100">
        <f t="shared" si="1"/>
        <v>333336.44098142243</v>
      </c>
      <c r="N12" s="100">
        <f t="shared" si="2"/>
        <v>520352.96821218811</v>
      </c>
      <c r="O12" s="100">
        <f t="shared" si="9"/>
        <v>194004.84353449446</v>
      </c>
      <c r="P12" s="100">
        <f t="shared" si="10"/>
        <v>263138.86464407714</v>
      </c>
    </row>
    <row r="13" spans="2:16" ht="15" x14ac:dyDescent="0.25">
      <c r="B13" s="2">
        <v>2025</v>
      </c>
      <c r="C13" s="105">
        <f>'Input Assumptions'!D28</f>
        <v>727382.49706242094</v>
      </c>
      <c r="D13" s="157">
        <f t="shared" si="3"/>
        <v>252.09620764733143</v>
      </c>
      <c r="E13" s="106">
        <f t="shared" si="4"/>
        <v>88.146950498353732</v>
      </c>
      <c r="F13" s="154">
        <v>52</v>
      </c>
      <c r="G13" s="222">
        <f t="shared" si="0"/>
        <v>530.77932670726875</v>
      </c>
      <c r="H13" s="219">
        <f t="shared" si="5"/>
        <v>193734.45424815308</v>
      </c>
      <c r="J13" s="100">
        <f t="shared" si="6"/>
        <v>193734.45424815308</v>
      </c>
      <c r="K13" s="100">
        <f t="shared" si="7"/>
        <v>105378.70676669529</v>
      </c>
      <c r="L13" s="100">
        <f t="shared" si="8"/>
        <v>105378.70676669529</v>
      </c>
      <c r="M13" s="100">
        <f t="shared" si="1"/>
        <v>338669.82403712522</v>
      </c>
      <c r="N13" s="100">
        <f t="shared" si="2"/>
        <v>532404.27828527824</v>
      </c>
      <c r="O13" s="100">
        <f t="shared" si="9"/>
        <v>184213.94488882838</v>
      </c>
      <c r="P13" s="100">
        <f t="shared" si="10"/>
        <v>259562.21988192463</v>
      </c>
    </row>
    <row r="14" spans="2:16" ht="15" x14ac:dyDescent="0.25">
      <c r="B14" s="2">
        <v>2026</v>
      </c>
      <c r="C14" s="105">
        <f>'Input Assumptions'!D29</f>
        <v>739020.61701541964</v>
      </c>
      <c r="D14" s="157">
        <f t="shared" si="3"/>
        <v>256.12974696968871</v>
      </c>
      <c r="E14" s="106">
        <f t="shared" si="4"/>
        <v>89.557301706327394</v>
      </c>
      <c r="F14" s="154">
        <v>53</v>
      </c>
      <c r="G14" s="222">
        <f t="shared" si="0"/>
        <v>549.64240739486559</v>
      </c>
      <c r="H14" s="219">
        <f t="shared" si="5"/>
        <v>200619.47869912593</v>
      </c>
      <c r="J14" s="100">
        <f t="shared" si="6"/>
        <v>200619.47869912593</v>
      </c>
      <c r="K14" s="100">
        <f t="shared" si="7"/>
        <v>101984.76998513677</v>
      </c>
      <c r="L14" s="100">
        <f t="shared" si="8"/>
        <v>101984.76998513677</v>
      </c>
      <c r="M14" s="100">
        <f t="shared" si="1"/>
        <v>344088.54122171912</v>
      </c>
      <c r="N14" s="100">
        <f t="shared" si="2"/>
        <v>544708.01992084505</v>
      </c>
      <c r="O14" s="100">
        <f t="shared" si="9"/>
        <v>174917.16636172857</v>
      </c>
      <c r="P14" s="100">
        <f t="shared" si="10"/>
        <v>256034.18970877217</v>
      </c>
    </row>
    <row r="15" spans="2:16" ht="15" x14ac:dyDescent="0.25">
      <c r="B15" s="2">
        <v>2027</v>
      </c>
      <c r="C15" s="105">
        <f>'Input Assumptions'!D30</f>
        <v>750844.94688766624</v>
      </c>
      <c r="D15" s="157">
        <f t="shared" si="3"/>
        <v>260.22782292120365</v>
      </c>
      <c r="E15" s="106">
        <f t="shared" si="4"/>
        <v>90.990218533628607</v>
      </c>
      <c r="F15" s="154">
        <v>54</v>
      </c>
      <c r="G15" s="222">
        <f t="shared" si="0"/>
        <v>568.97322715682822</v>
      </c>
      <c r="H15" s="219">
        <f t="shared" si="5"/>
        <v>207675.22791224229</v>
      </c>
      <c r="J15" s="100">
        <f t="shared" si="6"/>
        <v>207675.22791224229</v>
      </c>
      <c r="K15" s="100">
        <f t="shared" si="7"/>
        <v>98665.004769256586</v>
      </c>
      <c r="L15" s="100">
        <f t="shared" si="8"/>
        <v>98665.004769256586</v>
      </c>
      <c r="M15" s="100">
        <f t="shared" si="1"/>
        <v>349593.9578812666</v>
      </c>
      <c r="N15" s="100">
        <f t="shared" si="2"/>
        <v>557269.18579350889</v>
      </c>
      <c r="O15" s="100">
        <f t="shared" si="9"/>
        <v>166089.57105001513</v>
      </c>
      <c r="P15" s="100">
        <f t="shared" si="10"/>
        <v>252554.11334379856</v>
      </c>
    </row>
    <row r="16" spans="2:16" ht="15" x14ac:dyDescent="0.25">
      <c r="B16" s="2">
        <v>2028</v>
      </c>
      <c r="C16" s="105">
        <f>'Input Assumptions'!D31</f>
        <v>762858.46603786887</v>
      </c>
      <c r="D16" s="157">
        <f t="shared" si="3"/>
        <v>264.39146808794294</v>
      </c>
      <c r="E16" s="106">
        <f t="shared" si="4"/>
        <v>92.446062030166672</v>
      </c>
      <c r="F16" s="154">
        <v>55</v>
      </c>
      <c r="G16" s="222">
        <f t="shared" si="0"/>
        <v>588.78192469488079</v>
      </c>
      <c r="H16" s="219">
        <f t="shared" si="5"/>
        <v>214905.40251363147</v>
      </c>
      <c r="J16" s="100">
        <f t="shared" si="6"/>
        <v>214905.40251363147</v>
      </c>
      <c r="K16" s="100">
        <f t="shared" si="7"/>
        <v>95420.568821496345</v>
      </c>
      <c r="L16" s="100">
        <f t="shared" si="8"/>
        <v>95420.568821496345</v>
      </c>
      <c r="M16" s="100">
        <f t="shared" si="1"/>
        <v>355187.4612073669</v>
      </c>
      <c r="N16" s="100">
        <f t="shared" si="2"/>
        <v>570092.8637209984</v>
      </c>
      <c r="O16" s="100">
        <f t="shared" si="9"/>
        <v>157707.48054842564</v>
      </c>
      <c r="P16" s="100">
        <f t="shared" si="10"/>
        <v>249121.33898766933</v>
      </c>
    </row>
    <row r="17" spans="2:16" ht="15" x14ac:dyDescent="0.25">
      <c r="B17" s="2">
        <v>2029</v>
      </c>
      <c r="C17" s="105">
        <f>'Input Assumptions'!D32</f>
        <v>775064.20149447478</v>
      </c>
      <c r="D17" s="157">
        <f t="shared" si="3"/>
        <v>268.62173157735003</v>
      </c>
      <c r="E17" s="106">
        <f t="shared" si="4"/>
        <v>93.925199022649338</v>
      </c>
      <c r="F17" s="154">
        <v>55</v>
      </c>
      <c r="G17" s="222">
        <f t="shared" si="0"/>
        <v>598.20243548999895</v>
      </c>
      <c r="H17" s="219">
        <f t="shared" si="5"/>
        <v>218343.88895384962</v>
      </c>
      <c r="J17" s="100">
        <f t="shared" si="6"/>
        <v>218343.88895384962</v>
      </c>
      <c r="K17" s="100">
        <f t="shared" si="7"/>
        <v>90604.951329570365</v>
      </c>
      <c r="L17" s="100">
        <f t="shared" si="8"/>
        <v>90604.951329570365</v>
      </c>
      <c r="M17" s="100">
        <f t="shared" si="1"/>
        <v>360870.46058668476</v>
      </c>
      <c r="N17" s="100">
        <f t="shared" si="2"/>
        <v>579214.34954053443</v>
      </c>
      <c r="O17" s="100">
        <f t="shared" si="9"/>
        <v>149748.41143663591</v>
      </c>
      <c r="P17" s="100">
        <f t="shared" si="10"/>
        <v>245735.22370045827</v>
      </c>
    </row>
    <row r="18" spans="2:16" ht="15" x14ac:dyDescent="0.25">
      <c r="B18" s="2">
        <v>2030</v>
      </c>
      <c r="C18" s="105">
        <f>'Input Assumptions'!D33</f>
        <v>787465.22871838638</v>
      </c>
      <c r="D18" s="157">
        <f t="shared" si="3"/>
        <v>272.91967928258765</v>
      </c>
      <c r="E18" s="106">
        <f t="shared" si="4"/>
        <v>95.42800220701173</v>
      </c>
      <c r="F18" s="154">
        <v>57</v>
      </c>
      <c r="G18" s="222">
        <f t="shared" si="0"/>
        <v>629.87453534721487</v>
      </c>
      <c r="H18" s="219">
        <f t="shared" si="5"/>
        <v>229904.20540173343</v>
      </c>
      <c r="J18" s="100">
        <f t="shared" si="6"/>
        <v>229904.20540173343</v>
      </c>
      <c r="K18" s="100">
        <f t="shared" si="7"/>
        <v>89160.814637180622</v>
      </c>
      <c r="L18" s="100">
        <f t="shared" si="8"/>
        <v>89160.814637180622</v>
      </c>
      <c r="M18" s="100">
        <f t="shared" si="1"/>
        <v>366644.38795607176</v>
      </c>
      <c r="N18" s="100">
        <f t="shared" si="2"/>
        <v>596548.59335780516</v>
      </c>
      <c r="O18" s="100">
        <f t="shared" si="9"/>
        <v>142191.01497160946</v>
      </c>
      <c r="P18" s="100">
        <f t="shared" si="10"/>
        <v>242395.13328122874</v>
      </c>
    </row>
    <row r="19" spans="2:16" ht="15" x14ac:dyDescent="0.25">
      <c r="B19" s="2">
        <v>2031</v>
      </c>
      <c r="C19" s="105">
        <f>'Input Assumptions'!D34</f>
        <v>800064.67237788055</v>
      </c>
      <c r="D19" s="157">
        <f t="shared" si="3"/>
        <v>277.28639415110905</v>
      </c>
      <c r="E19" s="106">
        <f t="shared" si="4"/>
        <v>96.9548502423239</v>
      </c>
      <c r="F19" s="154">
        <v>58</v>
      </c>
      <c r="G19" s="222">
        <f t="shared" si="0"/>
        <v>651.17976524457333</v>
      </c>
      <c r="H19" s="219">
        <f t="shared" si="5"/>
        <v>237680.61431426927</v>
      </c>
      <c r="J19" s="100">
        <f t="shared" si="6"/>
        <v>237680.61431426927</v>
      </c>
      <c r="K19" s="100">
        <f t="shared" si="7"/>
        <v>86146.392604357752</v>
      </c>
      <c r="L19" s="100">
        <f t="shared" si="8"/>
        <v>86146.392604357752</v>
      </c>
      <c r="M19" s="100">
        <f t="shared" si="1"/>
        <v>372510.69816336886</v>
      </c>
      <c r="N19" s="100">
        <f t="shared" si="2"/>
        <v>610191.31247763813</v>
      </c>
      <c r="O19" s="100">
        <f t="shared" si="9"/>
        <v>135015.0198235095</v>
      </c>
      <c r="P19" s="100">
        <f t="shared" si="10"/>
        <v>239100.44214925083</v>
      </c>
    </row>
    <row r="20" spans="2:16" ht="15" x14ac:dyDescent="0.25">
      <c r="B20" s="2">
        <v>2032</v>
      </c>
      <c r="C20" s="105">
        <f>'Input Assumptions'!D35</f>
        <v>812865.70713592658</v>
      </c>
      <c r="D20" s="157">
        <f t="shared" si="3"/>
        <v>281.72297645752673</v>
      </c>
      <c r="E20" s="106">
        <f t="shared" si="4"/>
        <v>98.506127846201096</v>
      </c>
      <c r="F20" s="154">
        <v>59</v>
      </c>
      <c r="G20" s="222">
        <f t="shared" si="0"/>
        <v>673.00551461759812</v>
      </c>
      <c r="H20" s="219">
        <f t="shared" si="5"/>
        <v>245647.01283542332</v>
      </c>
      <c r="J20" s="100">
        <f t="shared" si="6"/>
        <v>245647.01283542332</v>
      </c>
      <c r="K20" s="100">
        <f t="shared" si="7"/>
        <v>83209.142092742826</v>
      </c>
      <c r="L20" s="100">
        <f t="shared" si="8"/>
        <v>83209.142092742826</v>
      </c>
      <c r="M20" s="100">
        <f t="shared" si="1"/>
        <v>378470.8693339827</v>
      </c>
      <c r="N20" s="100">
        <f t="shared" si="2"/>
        <v>624117.88216940605</v>
      </c>
      <c r="O20" s="100">
        <f t="shared" si="9"/>
        <v>128201.17770157538</v>
      </c>
      <c r="P20" s="100">
        <f t="shared" si="10"/>
        <v>235850.53322683385</v>
      </c>
    </row>
    <row r="21" spans="2:16" ht="15" x14ac:dyDescent="0.25">
      <c r="B21" s="2">
        <v>2033</v>
      </c>
      <c r="C21" s="105">
        <f>'Input Assumptions'!D36</f>
        <v>825871.55845010153</v>
      </c>
      <c r="D21" s="157">
        <f t="shared" si="3"/>
        <v>286.23054408084721</v>
      </c>
      <c r="E21" s="106">
        <f t="shared" si="4"/>
        <v>100.08222589174032</v>
      </c>
      <c r="F21" s="154">
        <v>60</v>
      </c>
      <c r="G21" s="222">
        <f t="shared" si="0"/>
        <v>695.36298595065762</v>
      </c>
      <c r="H21" s="219">
        <f t="shared" si="5"/>
        <v>253807.48987199002</v>
      </c>
      <c r="J21" s="100">
        <f t="shared" si="6"/>
        <v>253807.48987199002</v>
      </c>
      <c r="K21" s="100">
        <f t="shared" si="7"/>
        <v>80348.95140145105</v>
      </c>
      <c r="L21" s="100">
        <f t="shared" si="8"/>
        <v>80348.95140145105</v>
      </c>
      <c r="M21" s="100">
        <f t="shared" si="1"/>
        <v>384526.40324332658</v>
      </c>
      <c r="N21" s="100">
        <f t="shared" si="2"/>
        <v>638333.89311531663</v>
      </c>
      <c r="O21" s="100">
        <f t="shared" si="9"/>
        <v>121731.21172411274</v>
      </c>
      <c r="P21" s="100">
        <f t="shared" si="10"/>
        <v>232644.79782375076</v>
      </c>
    </row>
    <row r="22" spans="2:16" ht="15" x14ac:dyDescent="0.25">
      <c r="B22" s="2">
        <v>2034</v>
      </c>
      <c r="C22" s="105">
        <f>'Input Assumptions'!D37</f>
        <v>839085.50338530308</v>
      </c>
      <c r="D22" s="157">
        <f t="shared" si="3"/>
        <v>290.81023278614072</v>
      </c>
      <c r="E22" s="106">
        <f t="shared" si="4"/>
        <v>101.68354150600815</v>
      </c>
      <c r="F22" s="154">
        <v>61</v>
      </c>
      <c r="G22" s="222">
        <f t="shared" si="0"/>
        <v>718.26360695463245</v>
      </c>
      <c r="H22" s="219">
        <f t="shared" si="5"/>
        <v>262166.21653844084</v>
      </c>
      <c r="J22" s="100">
        <f t="shared" si="6"/>
        <v>262166.21653844084</v>
      </c>
      <c r="K22" s="100">
        <f t="shared" si="7"/>
        <v>77565.523552279279</v>
      </c>
      <c r="L22" s="100">
        <f t="shared" si="8"/>
        <v>77565.523552279279</v>
      </c>
      <c r="M22" s="100">
        <f t="shared" si="1"/>
        <v>390678.82569521968</v>
      </c>
      <c r="N22" s="100">
        <f t="shared" si="2"/>
        <v>652845.04223366058</v>
      </c>
      <c r="O22" s="100">
        <f t="shared" si="9"/>
        <v>115587.76739411075</v>
      </c>
      <c r="P22" s="100">
        <f t="shared" si="10"/>
        <v>229482.63552323368</v>
      </c>
    </row>
    <row r="23" spans="2:16" ht="15" x14ac:dyDescent="0.25">
      <c r="B23" s="2">
        <v>2035</v>
      </c>
      <c r="C23" s="105">
        <f>'Input Assumptions'!D38</f>
        <v>852510.871439468</v>
      </c>
      <c r="D23" s="157">
        <f t="shared" si="3"/>
        <v>295.463196510719</v>
      </c>
      <c r="E23" s="106">
        <f t="shared" si="4"/>
        <v>103.3104781701043</v>
      </c>
      <c r="F23" s="154">
        <v>62</v>
      </c>
      <c r="G23" s="222">
        <f t="shared" si="0"/>
        <v>741.71903490633133</v>
      </c>
      <c r="H23" s="219">
        <f t="shared" si="5"/>
        <v>270727.44774081092</v>
      </c>
      <c r="J23" s="100">
        <f t="shared" si="6"/>
        <v>270727.44774081092</v>
      </c>
      <c r="K23" s="100">
        <f t="shared" si="7"/>
        <v>74858.395275090792</v>
      </c>
      <c r="L23" s="100">
        <f t="shared" si="8"/>
        <v>74858.395275090792</v>
      </c>
      <c r="M23" s="100">
        <f t="shared" si="1"/>
        <v>396929.68690634333</v>
      </c>
      <c r="N23" s="100">
        <f t="shared" si="2"/>
        <v>667657.13464715425</v>
      </c>
      <c r="O23" s="100">
        <f t="shared" si="9"/>
        <v>109754.36604898743</v>
      </c>
      <c r="P23" s="100">
        <f t="shared" si="10"/>
        <v>226363.45406951991</v>
      </c>
    </row>
    <row r="24" spans="2:16" ht="15" x14ac:dyDescent="0.25">
      <c r="B24" s="2">
        <v>2036</v>
      </c>
      <c r="C24" s="105">
        <f>'Input Assumptions'!D39</f>
        <v>866151.04538249946</v>
      </c>
      <c r="D24" s="157">
        <f t="shared" si="3"/>
        <v>300.19060765489053</v>
      </c>
      <c r="E24" s="106">
        <f t="shared" si="4"/>
        <v>104.96344582082597</v>
      </c>
      <c r="F24" s="154">
        <v>63</v>
      </c>
      <c r="G24" s="222">
        <f t="shared" si="0"/>
        <v>765.74116106910424</v>
      </c>
      <c r="H24" s="219">
        <f t="shared" si="5"/>
        <v>279495.52379022306</v>
      </c>
      <c r="J24" s="100">
        <f t="shared" si="6"/>
        <v>279495.52379022306</v>
      </c>
      <c r="K24" s="100">
        <f t="shared" si="7"/>
        <v>72226.954548809357</v>
      </c>
      <c r="L24" s="100">
        <f t="shared" si="8"/>
        <v>72226.954548809357</v>
      </c>
      <c r="M24" s="100">
        <f t="shared" si="1"/>
        <v>403280.56189684471</v>
      </c>
      <c r="N24" s="100">
        <f t="shared" si="2"/>
        <v>682776.08568706783</v>
      </c>
      <c r="O24" s="100">
        <f t="shared" si="9"/>
        <v>104215.36065959926</v>
      </c>
      <c r="P24" s="100">
        <f t="shared" si="10"/>
        <v>223286.66925692445</v>
      </c>
    </row>
    <row r="25" spans="2:16" ht="15" x14ac:dyDescent="0.25">
      <c r="B25" s="2">
        <v>2037</v>
      </c>
      <c r="C25" s="105">
        <f>'Input Assumptions'!D40</f>
        <v>880009.46210861951</v>
      </c>
      <c r="D25" s="157">
        <f t="shared" si="3"/>
        <v>304.99365737736872</v>
      </c>
      <c r="E25" s="106">
        <f t="shared" si="4"/>
        <v>106.64286095395919</v>
      </c>
      <c r="F25" s="154">
        <v>64</v>
      </c>
      <c r="G25" s="222">
        <f t="shared" si="0"/>
        <v>790.34211519614962</v>
      </c>
      <c r="H25" s="219">
        <f t="shared" si="5"/>
        <v>288474.87204659462</v>
      </c>
      <c r="J25" s="100">
        <f t="shared" si="6"/>
        <v>288474.87204659462</v>
      </c>
      <c r="K25" s="100">
        <f t="shared" si="7"/>
        <v>69670.456795457329</v>
      </c>
      <c r="L25" s="100">
        <f t="shared" si="8"/>
        <v>69670.456795457329</v>
      </c>
      <c r="M25" s="100">
        <f t="shared" si="1"/>
        <v>409733.05088719435</v>
      </c>
      <c r="N25" s="100">
        <f t="shared" si="2"/>
        <v>698207.92293378897</v>
      </c>
      <c r="O25" s="100">
        <f t="shared" si="9"/>
        <v>98955.893859955962</v>
      </c>
      <c r="P25" s="100">
        <f t="shared" si="10"/>
        <v>220251.70482042263</v>
      </c>
    </row>
    <row r="26" spans="2:16" ht="15" x14ac:dyDescent="0.25">
      <c r="B26" s="2">
        <v>2038</v>
      </c>
      <c r="C26" s="105">
        <f>'Input Assumptions'!D41</f>
        <v>894089.61350235739</v>
      </c>
      <c r="D26" s="157">
        <f t="shared" si="3"/>
        <v>309.87355589540664</v>
      </c>
      <c r="E26" s="106">
        <f t="shared" si="4"/>
        <v>108.34914672922254</v>
      </c>
      <c r="F26" s="154">
        <v>66</v>
      </c>
      <c r="G26" s="222">
        <f t="shared" si="0"/>
        <v>828.08095119676568</v>
      </c>
      <c r="H26" s="219">
        <f t="shared" si="5"/>
        <v>302249.54718681949</v>
      </c>
      <c r="J26" s="100">
        <f t="shared" si="6"/>
        <v>302249.54718681949</v>
      </c>
      <c r="K26" s="100">
        <f t="shared" si="7"/>
        <v>68221.70196957048</v>
      </c>
      <c r="L26" s="100">
        <f t="shared" si="8"/>
        <v>68221.70196957048</v>
      </c>
      <c r="M26" s="100">
        <f t="shared" si="1"/>
        <v>416288.77970138937</v>
      </c>
      <c r="N26" s="100">
        <f t="shared" si="2"/>
        <v>718538.32688820886</v>
      </c>
      <c r="O26" s="100">
        <f t="shared" si="9"/>
        <v>93961.858095060976</v>
      </c>
      <c r="P26" s="100">
        <f t="shared" si="10"/>
        <v>217257.9923277178</v>
      </c>
    </row>
    <row r="27" spans="2:16" ht="15" x14ac:dyDescent="0.25">
      <c r="B27" s="2">
        <v>2039</v>
      </c>
      <c r="C27" s="105">
        <f>'Input Assumptions'!D42</f>
        <v>908395.04731839511</v>
      </c>
      <c r="D27" s="157">
        <f t="shared" si="3"/>
        <v>314.83153278973316</v>
      </c>
      <c r="E27" s="106">
        <f t="shared" si="4"/>
        <v>110.08273307689009</v>
      </c>
      <c r="F27" s="154">
        <v>67</v>
      </c>
      <c r="G27" s="222">
        <f t="shared" si="0"/>
        <v>854.07767439191275</v>
      </c>
      <c r="H27" s="219">
        <f t="shared" si="5"/>
        <v>311738.35115304816</v>
      </c>
      <c r="J27" s="100">
        <f t="shared" si="6"/>
        <v>311738.35115304816</v>
      </c>
      <c r="K27" s="100">
        <f t="shared" si="7"/>
        <v>65760.233594910824</v>
      </c>
      <c r="L27" s="100">
        <f t="shared" si="8"/>
        <v>65760.233594910824</v>
      </c>
      <c r="M27" s="100">
        <f t="shared" si="1"/>
        <v>422949.40017661173</v>
      </c>
      <c r="N27" s="100">
        <f t="shared" si="2"/>
        <v>734687.75132965995</v>
      </c>
      <c r="O27" s="100">
        <f t="shared" si="9"/>
        <v>89219.857779983155</v>
      </c>
      <c r="P27" s="100">
        <f t="shared" si="10"/>
        <v>214304.97107277799</v>
      </c>
    </row>
    <row r="28" spans="2:16" ht="15.75" thickBot="1" x14ac:dyDescent="0.3">
      <c r="B28" s="3">
        <v>2040</v>
      </c>
      <c r="C28" s="107">
        <f>'Input Assumptions'!D43</f>
        <v>922929.36807548942</v>
      </c>
      <c r="D28" s="158">
        <f t="shared" si="3"/>
        <v>319.86883731436893</v>
      </c>
      <c r="E28" s="108">
        <f t="shared" si="4"/>
        <v>111.84405680612034</v>
      </c>
      <c r="F28" s="155">
        <v>68</v>
      </c>
      <c r="G28" s="223">
        <f t="shared" si="0"/>
        <v>880.69430400579813</v>
      </c>
      <c r="H28" s="220">
        <f t="shared" si="5"/>
        <v>321453.42096211633</v>
      </c>
      <c r="J28" s="100">
        <f t="shared" si="6"/>
        <v>321453.42096211633</v>
      </c>
      <c r="K28" s="100">
        <f t="shared" si="7"/>
        <v>63373.455413658798</v>
      </c>
      <c r="L28" s="100">
        <f t="shared" si="8"/>
        <v>63373.455413658798</v>
      </c>
      <c r="M28" s="100">
        <f t="shared" si="1"/>
        <v>429716.59057943738</v>
      </c>
      <c r="N28" s="100">
        <f t="shared" si="2"/>
        <v>751170.01154155377</v>
      </c>
      <c r="O28" s="100">
        <f t="shared" si="9"/>
        <v>84717.173368656862</v>
      </c>
      <c r="P28" s="100">
        <f t="shared" si="10"/>
        <v>211392.08797081787</v>
      </c>
    </row>
    <row r="29" spans="2:16" ht="15.75" thickBot="1" x14ac:dyDescent="0.3">
      <c r="I29" s="215" t="s">
        <v>32</v>
      </c>
      <c r="J29" s="109">
        <f>SUM(J4:J28)</f>
        <v>5495340.4476306755</v>
      </c>
      <c r="K29" s="109">
        <f t="shared" ref="K29:L29" si="11">SUM(K4:K28)</f>
        <v>2432411.4343913901</v>
      </c>
      <c r="L29" s="109">
        <f t="shared" si="11"/>
        <v>2432411.4343913901</v>
      </c>
      <c r="M29" s="109">
        <f>SUM(M4:M28)</f>
        <v>8937971.9300755542</v>
      </c>
      <c r="N29" s="109">
        <f>SUM(N4:N28)</f>
        <v>14433312.37770623</v>
      </c>
      <c r="O29" s="109">
        <f>SUM(O4:O28)</f>
        <v>4223384.6734309085</v>
      </c>
      <c r="P29" s="109">
        <f>SUM(P4:P28)</f>
        <v>6258405.6373981172</v>
      </c>
    </row>
    <row r="30" spans="2:16" ht="15" thickBot="1" x14ac:dyDescent="0.35">
      <c r="B30" s="408" t="s">
        <v>0</v>
      </c>
      <c r="C30" s="435" t="s">
        <v>33</v>
      </c>
      <c r="D30" s="439" t="s">
        <v>180</v>
      </c>
      <c r="E30" s="440"/>
      <c r="F30" s="440"/>
      <c r="G30" s="441"/>
      <c r="J30" s="432" t="s">
        <v>223</v>
      </c>
      <c r="K30" s="432"/>
      <c r="L30" s="432"/>
      <c r="M30" s="432"/>
      <c r="N30" s="432"/>
      <c r="O30" s="432"/>
      <c r="P30" s="432"/>
    </row>
    <row r="31" spans="2:16" s="197" customFormat="1" ht="58.2" thickBot="1" x14ac:dyDescent="0.35">
      <c r="B31" s="409"/>
      <c r="C31" s="436"/>
      <c r="D31" s="101" t="s">
        <v>185</v>
      </c>
      <c r="E31" s="101" t="s">
        <v>181</v>
      </c>
      <c r="F31" s="101" t="s">
        <v>182</v>
      </c>
      <c r="G31" s="102" t="s">
        <v>193</v>
      </c>
      <c r="O31" s="217"/>
    </row>
    <row r="32" spans="2:16" ht="15" thickBot="1" x14ac:dyDescent="0.35">
      <c r="B32" s="1">
        <v>2016</v>
      </c>
      <c r="C32" s="103">
        <v>630549.91999999993</v>
      </c>
      <c r="D32" s="156">
        <f>(C32*$L$34)*76.75%/$L$67</f>
        <v>0.60227673020102734</v>
      </c>
      <c r="E32" s="104">
        <f>(C32*$L$44)*23.25%/$L$67</f>
        <v>0.16426842684913007</v>
      </c>
      <c r="F32" s="218">
        <f>(D32+E32)*$J$54*$M$69</f>
        <v>42.405278088014704</v>
      </c>
      <c r="G32" s="218">
        <f>F32*365</f>
        <v>15477.926502125367</v>
      </c>
      <c r="I32" s="442" t="s">
        <v>175</v>
      </c>
      <c r="J32" s="443"/>
      <c r="K32" s="443"/>
      <c r="L32" s="444"/>
      <c r="O32" s="215"/>
    </row>
    <row r="33" spans="2:15" x14ac:dyDescent="0.3">
      <c r="B33" s="2">
        <v>2017</v>
      </c>
      <c r="C33" s="105">
        <v>640638.71872</v>
      </c>
      <c r="D33" s="157">
        <f t="shared" ref="D33:D56" si="12">(C33*$L$34)*76.75%/$L$67</f>
        <v>0.61191315788424383</v>
      </c>
      <c r="E33" s="106">
        <f t="shared" ref="E33:E56" si="13">(C33*$L$44)*23.25%/$L$67</f>
        <v>0.16689672167871614</v>
      </c>
      <c r="F33" s="219">
        <f t="shared" ref="F33:F56" si="14">(D33+E33)*$J$54*$M$69</f>
        <v>43.083762537422949</v>
      </c>
      <c r="G33" s="219">
        <f t="shared" ref="G33:G56" si="15">F33*365</f>
        <v>15725.573326159376</v>
      </c>
      <c r="I33" s="207" t="s">
        <v>151</v>
      </c>
      <c r="J33" s="208" t="s">
        <v>152</v>
      </c>
      <c r="K33" s="199" t="s">
        <v>153</v>
      </c>
      <c r="L33" s="209" t="s">
        <v>154</v>
      </c>
      <c r="O33" s="215"/>
    </row>
    <row r="34" spans="2:15" x14ac:dyDescent="0.3">
      <c r="B34" s="2">
        <v>2018</v>
      </c>
      <c r="C34" s="105">
        <v>650888.93821952003</v>
      </c>
      <c r="D34" s="157">
        <f t="shared" si="12"/>
        <v>0.62170376841039188</v>
      </c>
      <c r="E34" s="106">
        <f t="shared" si="13"/>
        <v>0.16956706922557563</v>
      </c>
      <c r="F34" s="219">
        <f t="shared" si="14"/>
        <v>43.77310273802172</v>
      </c>
      <c r="G34" s="219">
        <f t="shared" si="15"/>
        <v>15977.182499377928</v>
      </c>
      <c r="I34" s="201" t="s">
        <v>155</v>
      </c>
      <c r="J34" s="202">
        <v>1.034</v>
      </c>
      <c r="K34" s="203">
        <v>1.224</v>
      </c>
      <c r="L34" s="210">
        <v>1.129</v>
      </c>
      <c r="O34" s="215"/>
    </row>
    <row r="35" spans="2:15" x14ac:dyDescent="0.3">
      <c r="B35" s="2">
        <v>2019</v>
      </c>
      <c r="C35" s="105">
        <v>661303.16123103234</v>
      </c>
      <c r="D35" s="157">
        <f t="shared" si="12"/>
        <v>0.63165102870495793</v>
      </c>
      <c r="E35" s="106">
        <f t="shared" si="13"/>
        <v>0.17228014233318484</v>
      </c>
      <c r="F35" s="219">
        <f t="shared" si="14"/>
        <v>44.473472381830049</v>
      </c>
      <c r="G35" s="219">
        <f t="shared" si="15"/>
        <v>16232.817419367968</v>
      </c>
      <c r="I35" s="201" t="s">
        <v>156</v>
      </c>
      <c r="J35" s="202">
        <v>1.077</v>
      </c>
      <c r="K35" s="203">
        <v>1.2889999999999999</v>
      </c>
      <c r="L35" s="210">
        <v>1.1829999999999998</v>
      </c>
      <c r="O35" s="215"/>
    </row>
    <row r="36" spans="2:15" x14ac:dyDescent="0.3">
      <c r="B36" s="2">
        <v>2020</v>
      </c>
      <c r="C36" s="105">
        <v>671884.01181072893</v>
      </c>
      <c r="D36" s="157">
        <f t="shared" si="12"/>
        <v>0.64175744516423749</v>
      </c>
      <c r="E36" s="106">
        <f t="shared" si="13"/>
        <v>0.17503662461051581</v>
      </c>
      <c r="F36" s="219">
        <f t="shared" si="14"/>
        <v>45.185047939939352</v>
      </c>
      <c r="G36" s="219">
        <f t="shared" si="15"/>
        <v>16492.542498077863</v>
      </c>
      <c r="I36" s="201" t="s">
        <v>157</v>
      </c>
      <c r="J36" s="202">
        <v>9.4</v>
      </c>
      <c r="K36" s="203">
        <v>11.84</v>
      </c>
      <c r="L36" s="210">
        <v>10.620000000000001</v>
      </c>
      <c r="O36" s="215"/>
    </row>
    <row r="37" spans="2:15" x14ac:dyDescent="0.3">
      <c r="B37" s="2">
        <v>2021</v>
      </c>
      <c r="C37" s="105">
        <v>682634.15599970066</v>
      </c>
      <c r="D37" s="157">
        <f t="shared" si="12"/>
        <v>0.65202556428686531</v>
      </c>
      <c r="E37" s="106">
        <f t="shared" si="13"/>
        <v>0.17783721060428406</v>
      </c>
      <c r="F37" s="219">
        <f t="shared" si="14"/>
        <v>45.908008706978379</v>
      </c>
      <c r="G37" s="219">
        <f t="shared" si="15"/>
        <v>16756.423178047109</v>
      </c>
      <c r="I37" s="201" t="s">
        <v>63</v>
      </c>
      <c r="J37" s="202">
        <v>0.69299999999999995</v>
      </c>
      <c r="K37" s="203">
        <v>0.95</v>
      </c>
      <c r="L37" s="210">
        <v>0.8214999999999999</v>
      </c>
      <c r="O37" s="215"/>
    </row>
    <row r="38" spans="2:15" x14ac:dyDescent="0.3">
      <c r="B38" s="2">
        <v>2022</v>
      </c>
      <c r="C38" s="105">
        <v>693556.30249569588</v>
      </c>
      <c r="D38" s="157">
        <f t="shared" si="12"/>
        <v>0.6624579733154552</v>
      </c>
      <c r="E38" s="106">
        <f t="shared" si="13"/>
        <v>0.18068260597395264</v>
      </c>
      <c r="F38" s="219">
        <f t="shared" si="14"/>
        <v>46.642536846290035</v>
      </c>
      <c r="G38" s="219">
        <f t="shared" si="15"/>
        <v>17024.525948895862</v>
      </c>
      <c r="I38" s="201" t="s">
        <v>158</v>
      </c>
      <c r="J38" s="202">
        <v>4.4000000000000003E-3</v>
      </c>
      <c r="K38" s="203">
        <v>4.8999999999999998E-3</v>
      </c>
      <c r="L38" s="210">
        <v>4.6499999999999996E-3</v>
      </c>
      <c r="O38" s="215"/>
    </row>
    <row r="39" spans="2:15" x14ac:dyDescent="0.3">
      <c r="B39" s="2">
        <v>2023</v>
      </c>
      <c r="C39" s="105">
        <v>704653.20333562698</v>
      </c>
      <c r="D39" s="157">
        <f t="shared" si="12"/>
        <v>0.67305730088850235</v>
      </c>
      <c r="E39" s="106">
        <f t="shared" si="13"/>
        <v>0.18357352766953586</v>
      </c>
      <c r="F39" s="219">
        <f t="shared" si="14"/>
        <v>47.388817435830667</v>
      </c>
      <c r="G39" s="219">
        <f t="shared" si="15"/>
        <v>17296.918364078192</v>
      </c>
      <c r="I39" s="201" t="s">
        <v>159</v>
      </c>
      <c r="J39" s="202">
        <v>4.1000000000000003E-3</v>
      </c>
      <c r="K39" s="203">
        <v>4.4999999999999997E-3</v>
      </c>
      <c r="L39" s="210">
        <v>4.3E-3</v>
      </c>
      <c r="O39" s="215"/>
    </row>
    <row r="40" spans="2:15" ht="15" thickBot="1" x14ac:dyDescent="0.35">
      <c r="B40" s="2">
        <v>2024</v>
      </c>
      <c r="C40" s="105">
        <v>715927.65458899701</v>
      </c>
      <c r="D40" s="157">
        <f t="shared" si="12"/>
        <v>0.68382621770271845</v>
      </c>
      <c r="E40" s="106">
        <f t="shared" si="13"/>
        <v>0.18651070411224843</v>
      </c>
      <c r="F40" s="219">
        <f t="shared" si="14"/>
        <v>48.147038514803967</v>
      </c>
      <c r="G40" s="219">
        <f t="shared" si="15"/>
        <v>17573.669057903448</v>
      </c>
      <c r="I40" s="204" t="s">
        <v>62</v>
      </c>
      <c r="J40" s="205">
        <v>368.4</v>
      </c>
      <c r="K40" s="206">
        <v>513.5</v>
      </c>
      <c r="L40" s="211">
        <v>440.95</v>
      </c>
      <c r="O40" s="215"/>
    </row>
    <row r="41" spans="2:15" ht="15" thickBot="1" x14ac:dyDescent="0.35">
      <c r="B41" s="2">
        <v>2025</v>
      </c>
      <c r="C41" s="105">
        <v>727382.49706242094</v>
      </c>
      <c r="D41" s="157">
        <f t="shared" si="12"/>
        <v>0.6947674371859619</v>
      </c>
      <c r="E41" s="106">
        <f t="shared" si="13"/>
        <v>0.18949487537804441</v>
      </c>
      <c r="F41" s="219">
        <f t="shared" si="14"/>
        <v>48.91739113104083</v>
      </c>
      <c r="G41" s="219">
        <f t="shared" si="15"/>
        <v>17854.847762829904</v>
      </c>
      <c r="O41" s="215"/>
    </row>
    <row r="42" spans="2:15" x14ac:dyDescent="0.3">
      <c r="B42" s="2">
        <v>2026</v>
      </c>
      <c r="C42" s="105">
        <v>739020.61701541964</v>
      </c>
      <c r="D42" s="157">
        <f t="shared" si="12"/>
        <v>0.70588371618093726</v>
      </c>
      <c r="E42" s="106">
        <f t="shared" si="13"/>
        <v>0.19252679338409312</v>
      </c>
      <c r="F42" s="219">
        <f t="shared" si="14"/>
        <v>49.700069389137475</v>
      </c>
      <c r="G42" s="219">
        <f t="shared" si="15"/>
        <v>18140.525327035179</v>
      </c>
      <c r="I42" s="445" t="s">
        <v>176</v>
      </c>
      <c r="J42" s="446"/>
      <c r="K42" s="446"/>
      <c r="L42" s="447"/>
      <c r="O42" s="215"/>
    </row>
    <row r="43" spans="2:15" x14ac:dyDescent="0.3">
      <c r="B43" s="2">
        <v>2027</v>
      </c>
      <c r="C43" s="105">
        <v>750844.94688766624</v>
      </c>
      <c r="D43" s="157">
        <f t="shared" si="12"/>
        <v>0.71717785563983216</v>
      </c>
      <c r="E43" s="106">
        <f t="shared" si="13"/>
        <v>0.19560722207823855</v>
      </c>
      <c r="F43" s="219">
        <f t="shared" si="14"/>
        <v>50.49527049936367</v>
      </c>
      <c r="G43" s="219">
        <f t="shared" si="15"/>
        <v>18430.773732267739</v>
      </c>
      <c r="I43" s="200" t="s">
        <v>151</v>
      </c>
      <c r="J43" s="189" t="s">
        <v>183</v>
      </c>
      <c r="K43" s="189" t="s">
        <v>184</v>
      </c>
      <c r="L43" s="212" t="s">
        <v>154</v>
      </c>
      <c r="O43" s="215"/>
    </row>
    <row r="44" spans="2:15" x14ac:dyDescent="0.3">
      <c r="B44" s="2">
        <v>2028</v>
      </c>
      <c r="C44" s="105">
        <v>762858.46603786887</v>
      </c>
      <c r="D44" s="157">
        <f t="shared" si="12"/>
        <v>0.72865270133006943</v>
      </c>
      <c r="E44" s="106">
        <f t="shared" si="13"/>
        <v>0.19873693763149036</v>
      </c>
      <c r="F44" s="219">
        <f t="shared" si="14"/>
        <v>51.303194827353487</v>
      </c>
      <c r="G44" s="219">
        <f t="shared" si="15"/>
        <v>18725.666111984021</v>
      </c>
      <c r="I44" s="201" t="s">
        <v>155</v>
      </c>
      <c r="J44" s="202">
        <v>1.5860000000000001</v>
      </c>
      <c r="K44" s="202">
        <v>0.44700000000000001</v>
      </c>
      <c r="L44" s="210">
        <v>1.0165</v>
      </c>
      <c r="O44" s="215"/>
    </row>
    <row r="45" spans="2:15" x14ac:dyDescent="0.3">
      <c r="B45" s="2">
        <v>2029</v>
      </c>
      <c r="C45" s="105">
        <v>775064.20149447478</v>
      </c>
      <c r="D45" s="157">
        <f t="shared" si="12"/>
        <v>0.74031114455135061</v>
      </c>
      <c r="E45" s="106">
        <f t="shared" si="13"/>
        <v>0.20191672863359422</v>
      </c>
      <c r="F45" s="219">
        <f t="shared" si="14"/>
        <v>52.124045944591145</v>
      </c>
      <c r="G45" s="219">
        <f t="shared" si="15"/>
        <v>19025.276769775766</v>
      </c>
      <c r="I45" s="201" t="s">
        <v>156</v>
      </c>
      <c r="J45" s="202">
        <v>1.635</v>
      </c>
      <c r="K45" s="202">
        <v>0.45300000000000001</v>
      </c>
      <c r="L45" s="210">
        <v>1.044</v>
      </c>
      <c r="O45" s="215"/>
    </row>
    <row r="46" spans="2:15" x14ac:dyDescent="0.3">
      <c r="B46" s="2">
        <v>2030</v>
      </c>
      <c r="C46" s="105">
        <v>787465.22871838638</v>
      </c>
      <c r="D46" s="157">
        <f t="shared" si="12"/>
        <v>0.75215612286417222</v>
      </c>
      <c r="E46" s="106">
        <f t="shared" si="13"/>
        <v>0.2051473962917317</v>
      </c>
      <c r="F46" s="219">
        <f t="shared" si="14"/>
        <v>52.958030679704599</v>
      </c>
      <c r="G46" s="219">
        <f t="shared" si="15"/>
        <v>19329.681198092178</v>
      </c>
      <c r="I46" s="201" t="s">
        <v>157</v>
      </c>
      <c r="J46" s="202">
        <v>13.13</v>
      </c>
      <c r="K46" s="202">
        <v>2.3109999999999999</v>
      </c>
      <c r="L46" s="210">
        <v>7.7205000000000004</v>
      </c>
      <c r="O46" s="215"/>
    </row>
    <row r="47" spans="2:15" x14ac:dyDescent="0.3">
      <c r="B47" s="2">
        <v>2031</v>
      </c>
      <c r="C47" s="105">
        <v>800064.67237788055</v>
      </c>
      <c r="D47" s="157">
        <f t="shared" si="12"/>
        <v>0.76419062082999889</v>
      </c>
      <c r="E47" s="106">
        <f t="shared" si="13"/>
        <v>0.20842975463239941</v>
      </c>
      <c r="F47" s="219">
        <f t="shared" si="14"/>
        <v>53.805359170579869</v>
      </c>
      <c r="G47" s="219">
        <f t="shared" si="15"/>
        <v>19638.956097261653</v>
      </c>
      <c r="I47" s="201" t="s">
        <v>63</v>
      </c>
      <c r="J47" s="202">
        <v>2.9140000000000001</v>
      </c>
      <c r="K47" s="202">
        <v>8.6129999999999995</v>
      </c>
      <c r="L47" s="210">
        <v>5.7634999999999996</v>
      </c>
      <c r="O47" s="215"/>
    </row>
    <row r="48" spans="2:15" x14ac:dyDescent="0.3">
      <c r="B48" s="2">
        <v>2032</v>
      </c>
      <c r="C48" s="105">
        <v>812865.70713592658</v>
      </c>
      <c r="D48" s="157">
        <f t="shared" si="12"/>
        <v>0.77641767076327872</v>
      </c>
      <c r="E48" s="106">
        <f t="shared" si="13"/>
        <v>0.2117646307065178</v>
      </c>
      <c r="F48" s="219">
        <f t="shared" si="14"/>
        <v>54.666244917309143</v>
      </c>
      <c r="G48" s="219">
        <f t="shared" si="15"/>
        <v>19953.179394817838</v>
      </c>
      <c r="I48" s="201" t="s">
        <v>158</v>
      </c>
      <c r="J48" s="202">
        <v>4.3999999999999997E-2</v>
      </c>
      <c r="K48" s="202">
        <v>0.20200000000000001</v>
      </c>
      <c r="L48" s="210">
        <v>0.123</v>
      </c>
      <c r="O48" s="215"/>
    </row>
    <row r="49" spans="2:15" ht="15" thickBot="1" x14ac:dyDescent="0.35">
      <c r="B49" s="2">
        <v>2033</v>
      </c>
      <c r="C49" s="105">
        <v>825871.55845010153</v>
      </c>
      <c r="D49" s="157">
        <f t="shared" si="12"/>
        <v>0.78884035349549142</v>
      </c>
      <c r="E49" s="106">
        <f t="shared" si="13"/>
        <v>0.21515286479782211</v>
      </c>
      <c r="F49" s="219">
        <f t="shared" si="14"/>
        <v>55.540904835986105</v>
      </c>
      <c r="G49" s="219">
        <f t="shared" si="15"/>
        <v>20272.430265134928</v>
      </c>
      <c r="I49" s="204" t="s">
        <v>159</v>
      </c>
      <c r="J49" s="205">
        <v>5.0999999999999997E-2</v>
      </c>
      <c r="K49" s="205">
        <v>0.219</v>
      </c>
      <c r="L49" s="211">
        <v>0.13500000000000001</v>
      </c>
      <c r="O49" s="215"/>
    </row>
    <row r="50" spans="2:15" ht="15" thickBot="1" x14ac:dyDescent="0.35">
      <c r="B50" s="2">
        <v>2034</v>
      </c>
      <c r="C50" s="105">
        <v>839085.50338530308</v>
      </c>
      <c r="D50" s="157">
        <f t="shared" si="12"/>
        <v>0.80146179915141924</v>
      </c>
      <c r="E50" s="106">
        <f t="shared" si="13"/>
        <v>0.21859531063458729</v>
      </c>
      <c r="F50" s="219">
        <f t="shared" si="14"/>
        <v>56.429559313361878</v>
      </c>
      <c r="G50" s="219">
        <f t="shared" si="15"/>
        <v>20596.789149377084</v>
      </c>
      <c r="I50" s="204" t="s">
        <v>62</v>
      </c>
      <c r="J50" s="448" t="s">
        <v>168</v>
      </c>
      <c r="K50" s="449"/>
      <c r="L50" s="211">
        <v>513.5</v>
      </c>
      <c r="O50" s="215"/>
    </row>
    <row r="51" spans="2:15" ht="15" thickBot="1" x14ac:dyDescent="0.35">
      <c r="B51" s="2">
        <v>2035</v>
      </c>
      <c r="C51" s="105">
        <v>852510.871439468</v>
      </c>
      <c r="D51" s="157">
        <f t="shared" si="12"/>
        <v>0.81428518793784199</v>
      </c>
      <c r="E51" s="106">
        <f t="shared" si="13"/>
        <v>0.22209283560474069</v>
      </c>
      <c r="F51" s="219">
        <f t="shared" si="14"/>
        <v>57.332432262375669</v>
      </c>
      <c r="G51" s="219">
        <f t="shared" si="15"/>
        <v>20926.337775767119</v>
      </c>
      <c r="O51" s="215"/>
    </row>
    <row r="52" spans="2:15" ht="15" thickBot="1" x14ac:dyDescent="0.35">
      <c r="B52" s="2">
        <v>2036</v>
      </c>
      <c r="C52" s="105">
        <v>866151.04538249946</v>
      </c>
      <c r="D52" s="157">
        <f t="shared" si="12"/>
        <v>0.82731375094484749</v>
      </c>
      <c r="E52" s="106">
        <f t="shared" si="13"/>
        <v>0.2256463209744165</v>
      </c>
      <c r="F52" s="219">
        <f t="shared" si="14"/>
        <v>58.249751178573682</v>
      </c>
      <c r="G52" s="219">
        <f t="shared" si="15"/>
        <v>21261.159180179395</v>
      </c>
      <c r="I52" s="452" t="s">
        <v>178</v>
      </c>
      <c r="J52" s="453"/>
      <c r="K52" s="454"/>
      <c r="O52" s="215"/>
    </row>
    <row r="53" spans="2:15" x14ac:dyDescent="0.3">
      <c r="B53" s="2">
        <v>2037</v>
      </c>
      <c r="C53" s="105">
        <v>880009.46210861951</v>
      </c>
      <c r="D53" s="157">
        <f t="shared" si="12"/>
        <v>0.84055077095996511</v>
      </c>
      <c r="E53" s="106">
        <f t="shared" si="13"/>
        <v>0.2292566621100072</v>
      </c>
      <c r="F53" s="219">
        <f t="shared" si="14"/>
        <v>59.181747197430859</v>
      </c>
      <c r="G53" s="219">
        <f t="shared" si="15"/>
        <v>21601.337727062262</v>
      </c>
      <c r="I53" s="214" t="s">
        <v>151</v>
      </c>
      <c r="J53" s="457" t="s">
        <v>177</v>
      </c>
      <c r="K53" s="458"/>
      <c r="O53" s="215"/>
    </row>
    <row r="54" spans="2:15" x14ac:dyDescent="0.3">
      <c r="B54" s="2">
        <v>2038</v>
      </c>
      <c r="C54" s="105">
        <v>894089.61350235739</v>
      </c>
      <c r="D54" s="157">
        <f t="shared" si="12"/>
        <v>0.85399958329532455</v>
      </c>
      <c r="E54" s="106">
        <f t="shared" si="13"/>
        <v>0.2329247687037673</v>
      </c>
      <c r="F54" s="219">
        <f t="shared" si="14"/>
        <v>60.128655152589758</v>
      </c>
      <c r="G54" s="219">
        <f t="shared" si="15"/>
        <v>21946.959130695261</v>
      </c>
      <c r="I54" s="201" t="s">
        <v>155</v>
      </c>
      <c r="J54" s="470">
        <v>1844</v>
      </c>
      <c r="K54" s="471"/>
      <c r="O54" s="215"/>
    </row>
    <row r="55" spans="2:15" x14ac:dyDescent="0.3">
      <c r="B55" s="2">
        <v>2039</v>
      </c>
      <c r="C55" s="105">
        <v>908395.04731839511</v>
      </c>
      <c r="D55" s="157">
        <f t="shared" si="12"/>
        <v>0.86766357662804972</v>
      </c>
      <c r="E55" s="106">
        <f t="shared" si="13"/>
        <v>0.23665156500302756</v>
      </c>
      <c r="F55" s="219">
        <f t="shared" si="14"/>
        <v>61.090713635031193</v>
      </c>
      <c r="G55" s="219">
        <f t="shared" si="15"/>
        <v>22298.110476786387</v>
      </c>
      <c r="I55" s="201" t="s">
        <v>63</v>
      </c>
      <c r="J55" s="470">
        <v>7266</v>
      </c>
      <c r="K55" s="471"/>
      <c r="O55" s="215"/>
    </row>
    <row r="56" spans="2:15" ht="15" thickBot="1" x14ac:dyDescent="0.35">
      <c r="B56" s="3">
        <v>2040</v>
      </c>
      <c r="C56" s="107">
        <v>922929.36807548942</v>
      </c>
      <c r="D56" s="158">
        <f t="shared" si="12"/>
        <v>0.88154619385409849</v>
      </c>
      <c r="E56" s="108">
        <f t="shared" si="13"/>
        <v>0.24043799004307601</v>
      </c>
      <c r="F56" s="220">
        <f t="shared" si="14"/>
        <v>62.068165053191692</v>
      </c>
      <c r="G56" s="220">
        <f t="shared" si="15"/>
        <v>22654.880244414966</v>
      </c>
      <c r="I56" s="201" t="s">
        <v>158</v>
      </c>
      <c r="J56" s="470">
        <v>332405</v>
      </c>
      <c r="K56" s="471"/>
      <c r="O56" s="215"/>
    </row>
    <row r="57" spans="2:15" ht="15" thickBot="1" x14ac:dyDescent="0.35">
      <c r="I57" s="204" t="s">
        <v>159</v>
      </c>
      <c r="J57" s="450">
        <v>332405</v>
      </c>
      <c r="K57" s="451"/>
      <c r="O57" s="215"/>
    </row>
    <row r="58" spans="2:15" ht="15" thickBot="1" x14ac:dyDescent="0.35">
      <c r="B58" s="408" t="s">
        <v>0</v>
      </c>
      <c r="C58" s="435" t="s">
        <v>33</v>
      </c>
      <c r="D58" s="439" t="s">
        <v>188</v>
      </c>
      <c r="E58" s="440"/>
      <c r="F58" s="440"/>
      <c r="G58" s="441"/>
      <c r="I58" s="461" t="s">
        <v>179</v>
      </c>
      <c r="J58" s="462"/>
      <c r="K58" s="463"/>
      <c r="O58" s="215"/>
    </row>
    <row r="59" spans="2:15" ht="58.2" thickBot="1" x14ac:dyDescent="0.35">
      <c r="B59" s="409"/>
      <c r="C59" s="436"/>
      <c r="D59" s="101" t="s">
        <v>189</v>
      </c>
      <c r="E59" s="101" t="s">
        <v>190</v>
      </c>
      <c r="F59" s="101" t="s">
        <v>191</v>
      </c>
      <c r="G59" s="102" t="s">
        <v>192</v>
      </c>
      <c r="I59" s="464"/>
      <c r="J59" s="465"/>
      <c r="K59" s="466"/>
      <c r="O59" s="215"/>
    </row>
    <row r="60" spans="2:15" x14ac:dyDescent="0.3">
      <c r="B60" s="1">
        <v>2016</v>
      </c>
      <c r="C60" s="103">
        <v>630549.91999999993</v>
      </c>
      <c r="D60" s="156">
        <f>(C60*$L$37)*76.75%/$L$67</f>
        <v>0.43823767392395391</v>
      </c>
      <c r="E60" s="104">
        <f>(C60*$L$47)*23.25%/$L$67</f>
        <v>0.93139309212490029</v>
      </c>
      <c r="F60" s="218">
        <f>(D60+E60)*$J$55*$M$69</f>
        <v>298.55211438332924</v>
      </c>
      <c r="G60" s="218">
        <f>F60*365</f>
        <v>108971.52174991518</v>
      </c>
      <c r="I60" s="464"/>
      <c r="J60" s="465"/>
      <c r="K60" s="466"/>
      <c r="O60" s="215"/>
    </row>
    <row r="61" spans="2:15" ht="15" thickBot="1" x14ac:dyDescent="0.35">
      <c r="B61" s="2">
        <v>2017</v>
      </c>
      <c r="C61" s="105">
        <v>640638.71872</v>
      </c>
      <c r="D61" s="157">
        <f t="shared" ref="D61:D84" si="16">(C61*$L$37)*76.75%/$L$67</f>
        <v>0.4452494767067372</v>
      </c>
      <c r="E61" s="106">
        <f t="shared" ref="E61:E84" si="17">(C61*$L$47)*23.25%/$L$67</f>
        <v>0.9462953815988987</v>
      </c>
      <c r="F61" s="219">
        <f t="shared" ref="F61:F84" si="18">(D61+E61)*$J$55*$M$69</f>
        <v>303.32894821346252</v>
      </c>
      <c r="G61" s="219">
        <f t="shared" ref="G61:G84" si="19">F61*365</f>
        <v>110715.06609791382</v>
      </c>
      <c r="I61" s="467"/>
      <c r="J61" s="468"/>
      <c r="K61" s="469"/>
      <c r="O61" s="215"/>
    </row>
    <row r="62" spans="2:15" ht="15" thickBot="1" x14ac:dyDescent="0.35">
      <c r="B62" s="2">
        <v>2018</v>
      </c>
      <c r="C62" s="105">
        <v>650888.93821952003</v>
      </c>
      <c r="D62" s="157">
        <f t="shared" si="16"/>
        <v>0.45237346833404496</v>
      </c>
      <c r="E62" s="106">
        <f t="shared" si="17"/>
        <v>0.96143610770448118</v>
      </c>
      <c r="F62" s="219">
        <f t="shared" si="18"/>
        <v>308.18221138487792</v>
      </c>
      <c r="G62" s="219">
        <f t="shared" si="19"/>
        <v>112486.50715548045</v>
      </c>
      <c r="O62" s="215"/>
    </row>
    <row r="63" spans="2:15" x14ac:dyDescent="0.3">
      <c r="B63" s="2">
        <v>2019</v>
      </c>
      <c r="C63" s="105">
        <v>661303.16123103234</v>
      </c>
      <c r="D63" s="157">
        <f t="shared" si="16"/>
        <v>0.45961144382738972</v>
      </c>
      <c r="E63" s="106">
        <f t="shared" si="17"/>
        <v>0.97681908542775286</v>
      </c>
      <c r="F63" s="219">
        <f t="shared" si="18"/>
        <v>313.11312676703596</v>
      </c>
      <c r="G63" s="219">
        <f t="shared" si="19"/>
        <v>114286.29126996813</v>
      </c>
      <c r="I63" s="395" t="s">
        <v>170</v>
      </c>
      <c r="J63" s="459"/>
      <c r="K63" s="459"/>
      <c r="L63" s="459"/>
      <c r="M63" s="460"/>
    </row>
    <row r="64" spans="2:15" ht="15" thickBot="1" x14ac:dyDescent="0.35">
      <c r="B64" s="2">
        <v>2020</v>
      </c>
      <c r="C64" s="105">
        <v>671884.01181072893</v>
      </c>
      <c r="D64" s="157">
        <f t="shared" si="16"/>
        <v>0.46696522692862791</v>
      </c>
      <c r="E64" s="106">
        <f t="shared" si="17"/>
        <v>0.9924481907945969</v>
      </c>
      <c r="F64" s="219">
        <f t="shared" si="18"/>
        <v>318.12293679530853</v>
      </c>
      <c r="G64" s="219">
        <f t="shared" si="19"/>
        <v>116114.87193028761</v>
      </c>
      <c r="I64" s="455" t="s">
        <v>171</v>
      </c>
      <c r="J64" s="456"/>
      <c r="K64" s="456"/>
      <c r="L64" s="67">
        <v>1000000</v>
      </c>
      <c r="M64" s="68" t="s">
        <v>169</v>
      </c>
    </row>
    <row r="65" spans="2:15" ht="15" thickBot="1" x14ac:dyDescent="0.35">
      <c r="B65" s="2">
        <v>2021</v>
      </c>
      <c r="C65" s="105">
        <v>682634.15599970066</v>
      </c>
      <c r="D65" s="157">
        <f t="shared" si="16"/>
        <v>0.47443667055948607</v>
      </c>
      <c r="E65" s="106">
        <f t="shared" si="17"/>
        <v>1.0083273618473108</v>
      </c>
      <c r="F65" s="219">
        <f t="shared" si="18"/>
        <v>323.21290378403359</v>
      </c>
      <c r="G65" s="219">
        <f t="shared" si="19"/>
        <v>117972.70988117225</v>
      </c>
    </row>
    <row r="66" spans="2:15" x14ac:dyDescent="0.3">
      <c r="B66" s="2">
        <v>2022</v>
      </c>
      <c r="C66" s="105">
        <v>693556.30249569588</v>
      </c>
      <c r="D66" s="157">
        <f t="shared" si="16"/>
        <v>0.48202765728843794</v>
      </c>
      <c r="E66" s="106">
        <f t="shared" si="17"/>
        <v>1.0244605996368676</v>
      </c>
      <c r="F66" s="219">
        <f t="shared" si="18"/>
        <v>328.3843102445781</v>
      </c>
      <c r="G66" s="219">
        <f t="shared" si="19"/>
        <v>119860.273239271</v>
      </c>
      <c r="I66" s="395" t="s">
        <v>172</v>
      </c>
      <c r="J66" s="459"/>
      <c r="K66" s="459"/>
      <c r="L66" s="459"/>
      <c r="M66" s="460"/>
    </row>
    <row r="67" spans="2:15" ht="15" thickBot="1" x14ac:dyDescent="0.35">
      <c r="B67" s="2">
        <v>2023</v>
      </c>
      <c r="C67" s="105">
        <v>704653.20333562698</v>
      </c>
      <c r="D67" s="157">
        <f t="shared" si="16"/>
        <v>0.48974009980505284</v>
      </c>
      <c r="E67" s="106">
        <f t="shared" si="17"/>
        <v>1.0408519692310574</v>
      </c>
      <c r="F67" s="219">
        <f t="shared" si="18"/>
        <v>333.63845920849127</v>
      </c>
      <c r="G67" s="219">
        <f t="shared" si="19"/>
        <v>121778.03761109931</v>
      </c>
      <c r="I67" s="455" t="s">
        <v>173</v>
      </c>
      <c r="J67" s="456"/>
      <c r="K67" s="456"/>
      <c r="L67" s="67">
        <v>907184.7</v>
      </c>
      <c r="M67" s="68" t="s">
        <v>169</v>
      </c>
    </row>
    <row r="68" spans="2:15" ht="15" thickBot="1" x14ac:dyDescent="0.35">
      <c r="B68" s="2">
        <v>2024</v>
      </c>
      <c r="C68" s="105">
        <v>715927.65458899701</v>
      </c>
      <c r="D68" s="157">
        <f t="shared" si="16"/>
        <v>0.49757594140193373</v>
      </c>
      <c r="E68" s="106">
        <f t="shared" si="17"/>
        <v>1.0575056007387544</v>
      </c>
      <c r="F68" s="219">
        <f t="shared" si="18"/>
        <v>338.97667455582723</v>
      </c>
      <c r="G68" s="219">
        <f t="shared" si="19"/>
        <v>123726.48621287695</v>
      </c>
    </row>
    <row r="69" spans="2:15" ht="15" thickBot="1" x14ac:dyDescent="0.35">
      <c r="B69" s="2">
        <v>2025</v>
      </c>
      <c r="C69" s="105">
        <v>727382.49706242094</v>
      </c>
      <c r="D69" s="157">
        <f t="shared" si="16"/>
        <v>0.50553715646436459</v>
      </c>
      <c r="E69" s="106">
        <f t="shared" si="17"/>
        <v>1.0744256903505744</v>
      </c>
      <c r="F69" s="219">
        <f t="shared" si="18"/>
        <v>344.4003013487204</v>
      </c>
      <c r="G69" s="219">
        <f t="shared" si="19"/>
        <v>125706.10999228295</v>
      </c>
      <c r="I69" s="390" t="s">
        <v>222</v>
      </c>
      <c r="J69" s="391"/>
      <c r="K69" s="391"/>
      <c r="L69" s="392"/>
      <c r="M69" s="216">
        <v>0.03</v>
      </c>
      <c r="N69" s="215"/>
    </row>
    <row r="70" spans="2:15" x14ac:dyDescent="0.3">
      <c r="B70" s="2">
        <v>2026</v>
      </c>
      <c r="C70" s="105">
        <v>739020.61701541964</v>
      </c>
      <c r="D70" s="157">
        <f t="shared" si="16"/>
        <v>0.5136257509677945</v>
      </c>
      <c r="E70" s="106">
        <f t="shared" si="17"/>
        <v>1.0916165013961834</v>
      </c>
      <c r="F70" s="219">
        <f t="shared" si="18"/>
        <v>349.91070617029987</v>
      </c>
      <c r="G70" s="219">
        <f t="shared" si="19"/>
        <v>127717.40775215946</v>
      </c>
    </row>
    <row r="71" spans="2:15" x14ac:dyDescent="0.3">
      <c r="B71" s="2">
        <v>2027</v>
      </c>
      <c r="C71" s="105">
        <v>750844.94688766624</v>
      </c>
      <c r="D71" s="157">
        <f t="shared" si="16"/>
        <v>0.52184376298327895</v>
      </c>
      <c r="E71" s="106">
        <f t="shared" si="17"/>
        <v>1.1090823654185222</v>
      </c>
      <c r="F71" s="219">
        <f t="shared" si="18"/>
        <v>355.5092774690246</v>
      </c>
      <c r="G71" s="219">
        <f t="shared" si="19"/>
        <v>129760.88627619398</v>
      </c>
    </row>
    <row r="72" spans="2:15" x14ac:dyDescent="0.3">
      <c r="B72" s="2">
        <v>2028</v>
      </c>
      <c r="C72" s="105">
        <v>762858.46603786887</v>
      </c>
      <c r="D72" s="157">
        <f t="shared" si="16"/>
        <v>0.53019326319101145</v>
      </c>
      <c r="E72" s="106">
        <f t="shared" si="17"/>
        <v>1.1268276832652186</v>
      </c>
      <c r="F72" s="219">
        <f t="shared" si="18"/>
        <v>361.197425908529</v>
      </c>
      <c r="G72" s="219">
        <f t="shared" si="19"/>
        <v>131837.06045661308</v>
      </c>
    </row>
    <row r="73" spans="2:15" x14ac:dyDescent="0.3">
      <c r="B73" s="2">
        <v>2029</v>
      </c>
      <c r="C73" s="105">
        <v>775064.20149447478</v>
      </c>
      <c r="D73" s="157">
        <f t="shared" si="16"/>
        <v>0.5386763554020676</v>
      </c>
      <c r="E73" s="106">
        <f t="shared" si="17"/>
        <v>1.1448569261974622</v>
      </c>
      <c r="F73" s="219">
        <f t="shared" si="18"/>
        <v>366.97658472306546</v>
      </c>
      <c r="G73" s="219">
        <f t="shared" si="19"/>
        <v>133946.45342391889</v>
      </c>
      <c r="O73" s="215"/>
    </row>
    <row r="74" spans="2:15" x14ac:dyDescent="0.3">
      <c r="B74" s="2">
        <v>2030</v>
      </c>
      <c r="C74" s="105">
        <v>787465.22871838638</v>
      </c>
      <c r="D74" s="157">
        <f t="shared" si="16"/>
        <v>0.54729517708850084</v>
      </c>
      <c r="E74" s="106">
        <f t="shared" si="17"/>
        <v>1.1631746370166214</v>
      </c>
      <c r="F74" s="219">
        <f t="shared" si="18"/>
        <v>372.84821007863457</v>
      </c>
      <c r="G74" s="219">
        <f t="shared" si="19"/>
        <v>136089.59667870161</v>
      </c>
      <c r="O74" s="215"/>
    </row>
    <row r="75" spans="2:15" x14ac:dyDescent="0.3">
      <c r="B75" s="2">
        <v>2031</v>
      </c>
      <c r="C75" s="105">
        <v>800064.67237788055</v>
      </c>
      <c r="D75" s="157">
        <f t="shared" si="16"/>
        <v>0.55605189992191684</v>
      </c>
      <c r="E75" s="106">
        <f t="shared" si="17"/>
        <v>1.1817854312088873</v>
      </c>
      <c r="F75" s="219">
        <f t="shared" si="18"/>
        <v>378.81378143989269</v>
      </c>
      <c r="G75" s="219">
        <f t="shared" si="19"/>
        <v>138267.03022556083</v>
      </c>
      <c r="O75" s="215"/>
    </row>
    <row r="76" spans="2:15" x14ac:dyDescent="0.3">
      <c r="B76" s="2">
        <v>2032</v>
      </c>
      <c r="C76" s="105">
        <v>812865.70713592658</v>
      </c>
      <c r="D76" s="157">
        <f t="shared" si="16"/>
        <v>0.56494873032066739</v>
      </c>
      <c r="E76" s="106">
        <f t="shared" si="17"/>
        <v>1.2006939981082294</v>
      </c>
      <c r="F76" s="219">
        <f t="shared" si="18"/>
        <v>384.8748019429309</v>
      </c>
      <c r="G76" s="219">
        <f t="shared" si="19"/>
        <v>140479.30270916977</v>
      </c>
      <c r="O76" s="215"/>
    </row>
    <row r="77" spans="2:15" x14ac:dyDescent="0.3">
      <c r="B77" s="2">
        <v>2033</v>
      </c>
      <c r="C77" s="105">
        <v>825871.55845010153</v>
      </c>
      <c r="D77" s="157">
        <f t="shared" si="16"/>
        <v>0.57398791000579819</v>
      </c>
      <c r="E77" s="106">
        <f t="shared" si="17"/>
        <v>1.2199051020779612</v>
      </c>
      <c r="F77" s="219">
        <f t="shared" si="18"/>
        <v>391.03279877401792</v>
      </c>
      <c r="G77" s="219">
        <f t="shared" si="19"/>
        <v>142726.97155251654</v>
      </c>
    </row>
    <row r="78" spans="2:15" ht="15.75" customHeight="1" x14ac:dyDescent="0.3">
      <c r="B78" s="2">
        <v>2034</v>
      </c>
      <c r="C78" s="105">
        <v>839085.50338530308</v>
      </c>
      <c r="D78" s="157">
        <f t="shared" si="16"/>
        <v>0.58317171656589084</v>
      </c>
      <c r="E78" s="106">
        <f t="shared" si="17"/>
        <v>1.2394235837112086</v>
      </c>
      <c r="F78" s="219">
        <f t="shared" si="18"/>
        <v>397.28932355440207</v>
      </c>
      <c r="G78" s="219">
        <f t="shared" si="19"/>
        <v>145010.60309735677</v>
      </c>
    </row>
    <row r="79" spans="2:15" x14ac:dyDescent="0.3">
      <c r="B79" s="2">
        <v>2035</v>
      </c>
      <c r="C79" s="105">
        <v>852510.871439468</v>
      </c>
      <c r="D79" s="157">
        <f t="shared" si="16"/>
        <v>0.5925024640309452</v>
      </c>
      <c r="E79" s="106">
        <f t="shared" si="17"/>
        <v>1.2592543610505882</v>
      </c>
      <c r="F79" s="219">
        <f t="shared" si="18"/>
        <v>403.64595273127259</v>
      </c>
      <c r="G79" s="219">
        <f t="shared" si="19"/>
        <v>147330.7727469145</v>
      </c>
    </row>
    <row r="80" spans="2:15" x14ac:dyDescent="0.3">
      <c r="B80" s="2">
        <v>2036</v>
      </c>
      <c r="C80" s="105">
        <v>866151.04538249946</v>
      </c>
      <c r="D80" s="157">
        <f t="shared" si="16"/>
        <v>0.60198250345544024</v>
      </c>
      <c r="E80" s="106">
        <f t="shared" si="17"/>
        <v>1.2794024308273975</v>
      </c>
      <c r="F80" s="219">
        <f t="shared" si="18"/>
        <v>410.10428797497292</v>
      </c>
      <c r="G80" s="219">
        <f t="shared" si="19"/>
        <v>149688.06511086511</v>
      </c>
    </row>
    <row r="81" spans="2:7" x14ac:dyDescent="0.3">
      <c r="B81" s="2">
        <v>2037</v>
      </c>
      <c r="C81" s="105">
        <v>880009.46210861951</v>
      </c>
      <c r="D81" s="157">
        <f t="shared" si="16"/>
        <v>0.61161422351072736</v>
      </c>
      <c r="E81" s="106">
        <f t="shared" si="17"/>
        <v>1.2998728697206361</v>
      </c>
      <c r="F81" s="219">
        <f t="shared" si="18"/>
        <v>416.66595658257262</v>
      </c>
      <c r="G81" s="219">
        <f t="shared" si="19"/>
        <v>152083.07415263902</v>
      </c>
    </row>
    <row r="82" spans="2:7" x14ac:dyDescent="0.3">
      <c r="B82" s="2">
        <v>2038</v>
      </c>
      <c r="C82" s="105">
        <v>894089.61350235739</v>
      </c>
      <c r="D82" s="157">
        <f t="shared" si="16"/>
        <v>0.62140005108689889</v>
      </c>
      <c r="E82" s="106">
        <f t="shared" si="17"/>
        <v>1.3206708356361661</v>
      </c>
      <c r="F82" s="219">
        <f t="shared" si="18"/>
        <v>423.33261188789368</v>
      </c>
      <c r="G82" s="219">
        <f t="shared" si="19"/>
        <v>154516.40333908118</v>
      </c>
    </row>
    <row r="83" spans="2:7" x14ac:dyDescent="0.3">
      <c r="B83" s="2">
        <v>2039</v>
      </c>
      <c r="C83" s="105">
        <v>908395.04731839511</v>
      </c>
      <c r="D83" s="157">
        <f t="shared" si="16"/>
        <v>0.63134245190428928</v>
      </c>
      <c r="E83" s="106">
        <f t="shared" si="17"/>
        <v>1.3418015690063447</v>
      </c>
      <c r="F83" s="219">
        <f t="shared" si="18"/>
        <v>430.10593367810003</v>
      </c>
      <c r="G83" s="219">
        <f t="shared" si="19"/>
        <v>156988.66579250651</v>
      </c>
    </row>
    <row r="84" spans="2:7" ht="15" thickBot="1" x14ac:dyDescent="0.35">
      <c r="B84" s="3">
        <v>2040</v>
      </c>
      <c r="C84" s="107">
        <v>922929.36807548942</v>
      </c>
      <c r="D84" s="158">
        <f t="shared" si="16"/>
        <v>0.64144393113475806</v>
      </c>
      <c r="E84" s="108">
        <f t="shared" si="17"/>
        <v>1.3632703941104463</v>
      </c>
      <c r="F84" s="220">
        <f t="shared" si="18"/>
        <v>436.98762861694962</v>
      </c>
      <c r="G84" s="220">
        <f t="shared" si="19"/>
        <v>159500.48444518662</v>
      </c>
    </row>
    <row r="85" spans="2:7" ht="15" thickBot="1" x14ac:dyDescent="0.35">
      <c r="F85" s="198"/>
    </row>
    <row r="86" spans="2:7" ht="15" thickBot="1" x14ac:dyDescent="0.35">
      <c r="B86" s="408" t="s">
        <v>0</v>
      </c>
      <c r="C86" s="435" t="s">
        <v>33</v>
      </c>
      <c r="D86" s="439" t="s">
        <v>194</v>
      </c>
      <c r="E86" s="440"/>
      <c r="F86" s="440"/>
      <c r="G86" s="441"/>
    </row>
    <row r="87" spans="2:7" ht="58.2" thickBot="1" x14ac:dyDescent="0.35">
      <c r="B87" s="409"/>
      <c r="C87" s="436"/>
      <c r="D87" s="101" t="s">
        <v>195</v>
      </c>
      <c r="E87" s="101" t="s">
        <v>196</v>
      </c>
      <c r="F87" s="101" t="s">
        <v>197</v>
      </c>
      <c r="G87" s="102" t="s">
        <v>198</v>
      </c>
    </row>
    <row r="88" spans="2:7" x14ac:dyDescent="0.3">
      <c r="B88" s="1">
        <v>2016</v>
      </c>
      <c r="C88" s="103">
        <v>630549.91999999993</v>
      </c>
      <c r="D88" s="224">
        <f>C88*($L$38+$L$39)*76.75%/$L$67</f>
        <v>4.7744700932676656E-3</v>
      </c>
      <c r="E88" s="225">
        <f>C88*($L$48+$L$49)*23.25%/$L$67</f>
        <v>4.169331443883479E-2</v>
      </c>
      <c r="F88" s="218">
        <f>(D88+E88)*$J$56*$M$69</f>
        <v>463.38371752180552</v>
      </c>
      <c r="G88" s="218">
        <f>F88*365</f>
        <v>169135.05689545901</v>
      </c>
    </row>
    <row r="89" spans="2:7" x14ac:dyDescent="0.3">
      <c r="B89" s="2">
        <v>2017</v>
      </c>
      <c r="C89" s="105">
        <v>640638.71872</v>
      </c>
      <c r="D89" s="226">
        <f t="shared" ref="D89:D112" si="20">C89*($L$38+$L$39)*76.75%/$L$67</f>
        <v>4.8508616147599493E-3</v>
      </c>
      <c r="E89" s="227">
        <f t="shared" ref="E89:E112" si="21">C89*($L$48+$L$49)*23.25%/$L$67</f>
        <v>4.2360407469856143E-2</v>
      </c>
      <c r="F89" s="219">
        <f t="shared" ref="F89:F112" si="22">(D89+E89)*$J$56*$M$69</f>
        <v>470.79785700215433</v>
      </c>
      <c r="G89" s="219">
        <f t="shared" ref="G89:G112" si="23">F89*365</f>
        <v>171841.21780578632</v>
      </c>
    </row>
    <row r="90" spans="2:7" x14ac:dyDescent="0.3">
      <c r="B90" s="2">
        <v>2018</v>
      </c>
      <c r="C90" s="105">
        <v>650888.93821952003</v>
      </c>
      <c r="D90" s="226">
        <f t="shared" si="20"/>
        <v>4.9284754005961091E-3</v>
      </c>
      <c r="E90" s="227">
        <f t="shared" si="21"/>
        <v>4.3038173989373839E-2</v>
      </c>
      <c r="F90" s="219">
        <f t="shared" si="22"/>
        <v>478.33062271418879</v>
      </c>
      <c r="G90" s="219">
        <f t="shared" si="23"/>
        <v>174590.6772906789</v>
      </c>
    </row>
    <row r="91" spans="2:7" x14ac:dyDescent="0.3">
      <c r="B91" s="2">
        <v>2019</v>
      </c>
      <c r="C91" s="105">
        <v>661303.16123103234</v>
      </c>
      <c r="D91" s="226">
        <f t="shared" si="20"/>
        <v>5.0073310070056463E-3</v>
      </c>
      <c r="E91" s="227">
        <f t="shared" si="21"/>
        <v>4.3726784773203825E-2</v>
      </c>
      <c r="F91" s="219">
        <f t="shared" si="22"/>
        <v>485.98391267761593</v>
      </c>
      <c r="G91" s="219">
        <f t="shared" si="23"/>
        <v>177384.12812732981</v>
      </c>
    </row>
    <row r="92" spans="2:7" x14ac:dyDescent="0.3">
      <c r="B92" s="2">
        <v>2020</v>
      </c>
      <c r="C92" s="105">
        <v>671884.01181072893</v>
      </c>
      <c r="D92" s="226">
        <f t="shared" si="20"/>
        <v>5.087448303117738E-3</v>
      </c>
      <c r="E92" s="227">
        <f t="shared" si="21"/>
        <v>4.4426413329575087E-2</v>
      </c>
      <c r="F92" s="219">
        <f t="shared" si="22"/>
        <v>493.75965528045771</v>
      </c>
      <c r="G92" s="219">
        <f t="shared" si="23"/>
        <v>180222.27417736707</v>
      </c>
    </row>
    <row r="93" spans="2:7" x14ac:dyDescent="0.3">
      <c r="B93" s="2">
        <v>2021</v>
      </c>
      <c r="C93" s="105">
        <v>682634.15599970066</v>
      </c>
      <c r="D93" s="226">
        <f t="shared" si="20"/>
        <v>5.1688474759676202E-3</v>
      </c>
      <c r="E93" s="227">
        <f t="shared" si="21"/>
        <v>4.5137235942848297E-2</v>
      </c>
      <c r="F93" s="219">
        <f t="shared" si="22"/>
        <v>501.65980976494507</v>
      </c>
      <c r="G93" s="219">
        <f t="shared" si="23"/>
        <v>183105.83056420495</v>
      </c>
    </row>
    <row r="94" spans="2:7" x14ac:dyDescent="0.3">
      <c r="B94" s="2">
        <v>2022</v>
      </c>
      <c r="C94" s="105">
        <v>693556.30249569588</v>
      </c>
      <c r="D94" s="226">
        <f t="shared" si="20"/>
        <v>5.2515490355831028E-3</v>
      </c>
      <c r="E94" s="227">
        <f t="shared" si="21"/>
        <v>4.5859431717933871E-2</v>
      </c>
      <c r="F94" s="219">
        <f t="shared" si="22"/>
        <v>509.6863667211843</v>
      </c>
      <c r="G94" s="219">
        <f t="shared" si="23"/>
        <v>186035.52385323227</v>
      </c>
    </row>
    <row r="95" spans="2:7" x14ac:dyDescent="0.3">
      <c r="B95" s="2">
        <v>2023</v>
      </c>
      <c r="C95" s="105">
        <v>704653.20333562698</v>
      </c>
      <c r="D95" s="226">
        <f t="shared" si="20"/>
        <v>5.3355738201524335E-3</v>
      </c>
      <c r="E95" s="227">
        <f t="shared" si="21"/>
        <v>4.6593182625420809E-2</v>
      </c>
      <c r="F95" s="219">
        <f t="shared" si="22"/>
        <v>517.84134858872324</v>
      </c>
      <c r="G95" s="219">
        <f t="shared" si="23"/>
        <v>189012.09223488398</v>
      </c>
    </row>
    <row r="96" spans="2:7" x14ac:dyDescent="0.3">
      <c r="B96" s="2">
        <v>2024</v>
      </c>
      <c r="C96" s="105">
        <v>715927.65458899701</v>
      </c>
      <c r="D96" s="226">
        <f t="shared" si="20"/>
        <v>5.4209430012748709E-3</v>
      </c>
      <c r="E96" s="227">
        <f t="shared" si="21"/>
        <v>4.7338673547427546E-2</v>
      </c>
      <c r="F96" s="219">
        <f t="shared" si="22"/>
        <v>526.12681016614272</v>
      </c>
      <c r="G96" s="219">
        <f t="shared" si="23"/>
        <v>192036.28571064209</v>
      </c>
    </row>
    <row r="97" spans="2:7" x14ac:dyDescent="0.3">
      <c r="B97" s="2">
        <v>2025</v>
      </c>
      <c r="C97" s="105">
        <v>727382.49706242094</v>
      </c>
      <c r="D97" s="226">
        <f t="shared" si="20"/>
        <v>5.5076780892952693E-3</v>
      </c>
      <c r="E97" s="227">
        <f t="shared" si="21"/>
        <v>4.8096092324186386E-2</v>
      </c>
      <c r="F97" s="219">
        <f t="shared" si="22"/>
        <v>534.54483912880096</v>
      </c>
      <c r="G97" s="219">
        <f t="shared" si="23"/>
        <v>195108.86628201234</v>
      </c>
    </row>
    <row r="98" spans="2:7" x14ac:dyDescent="0.3">
      <c r="B98" s="2">
        <v>2026</v>
      </c>
      <c r="C98" s="105">
        <v>739020.61701541964</v>
      </c>
      <c r="D98" s="226">
        <f t="shared" si="20"/>
        <v>5.5958009387239932E-3</v>
      </c>
      <c r="E98" s="227">
        <f t="shared" si="21"/>
        <v>4.8865629801373357E-2</v>
      </c>
      <c r="F98" s="219">
        <f t="shared" si="22"/>
        <v>543.09755655486174</v>
      </c>
      <c r="G98" s="219">
        <f t="shared" si="23"/>
        <v>198230.60814252452</v>
      </c>
    </row>
    <row r="99" spans="2:7" x14ac:dyDescent="0.3">
      <c r="B99" s="2">
        <v>2027</v>
      </c>
      <c r="C99" s="105">
        <v>750844.94688766624</v>
      </c>
      <c r="D99" s="226">
        <f t="shared" si="20"/>
        <v>5.6853337537435761E-3</v>
      </c>
      <c r="E99" s="227">
        <f t="shared" si="21"/>
        <v>4.964747987819533E-2</v>
      </c>
      <c r="F99" s="219">
        <f t="shared" si="22"/>
        <v>551.78711745973953</v>
      </c>
      <c r="G99" s="219">
        <f t="shared" si="23"/>
        <v>201402.29787280492</v>
      </c>
    </row>
    <row r="100" spans="2:7" x14ac:dyDescent="0.3">
      <c r="B100" s="2">
        <v>2028</v>
      </c>
      <c r="C100" s="105">
        <v>762858.46603786887</v>
      </c>
      <c r="D100" s="226">
        <f t="shared" si="20"/>
        <v>5.7762990938034732E-3</v>
      </c>
      <c r="E100" s="227">
        <f t="shared" si="21"/>
        <v>5.0441839556246454E-2</v>
      </c>
      <c r="F100" s="219">
        <f t="shared" si="22"/>
        <v>560.61571133909536</v>
      </c>
      <c r="G100" s="219">
        <f t="shared" si="23"/>
        <v>204624.73463876979</v>
      </c>
    </row>
    <row r="101" spans="2:7" x14ac:dyDescent="0.3">
      <c r="B101" s="2">
        <v>2029</v>
      </c>
      <c r="C101" s="105">
        <v>775064.20149447478</v>
      </c>
      <c r="D101" s="226">
        <f t="shared" si="20"/>
        <v>5.8687198793043287E-3</v>
      </c>
      <c r="E101" s="227">
        <f t="shared" si="21"/>
        <v>5.1248908989146393E-2</v>
      </c>
      <c r="F101" s="219">
        <f t="shared" si="22"/>
        <v>569.58556272052078</v>
      </c>
      <c r="G101" s="219">
        <f t="shared" si="23"/>
        <v>207898.73039299008</v>
      </c>
    </row>
    <row r="102" spans="2:7" x14ac:dyDescent="0.3">
      <c r="B102" s="2">
        <v>2030</v>
      </c>
      <c r="C102" s="105">
        <v>787465.22871838638</v>
      </c>
      <c r="D102" s="226">
        <f t="shared" si="20"/>
        <v>5.9626193973731983E-3</v>
      </c>
      <c r="E102" s="227">
        <f t="shared" si="21"/>
        <v>5.2068891532972734E-2</v>
      </c>
      <c r="F102" s="219">
        <f t="shared" si="22"/>
        <v>578.6989317240492</v>
      </c>
      <c r="G102" s="219">
        <f t="shared" si="23"/>
        <v>211225.11007927795</v>
      </c>
    </row>
    <row r="103" spans="2:7" x14ac:dyDescent="0.3">
      <c r="B103" s="2">
        <v>2031</v>
      </c>
      <c r="C103" s="105">
        <v>800064.67237788055</v>
      </c>
      <c r="D103" s="226">
        <f t="shared" si="20"/>
        <v>6.0580213077311689E-3</v>
      </c>
      <c r="E103" s="227">
        <f t="shared" si="21"/>
        <v>5.2901993797500296E-2</v>
      </c>
      <c r="F103" s="219">
        <f t="shared" si="22"/>
        <v>587.95811463163398</v>
      </c>
      <c r="G103" s="219">
        <f t="shared" si="23"/>
        <v>214604.7118405464</v>
      </c>
    </row>
    <row r="104" spans="2:7" x14ac:dyDescent="0.3">
      <c r="B104" s="2">
        <v>2032</v>
      </c>
      <c r="C104" s="105">
        <v>812865.70713592658</v>
      </c>
      <c r="D104" s="226">
        <f t="shared" si="20"/>
        <v>6.1549496486548675E-3</v>
      </c>
      <c r="E104" s="227">
        <f t="shared" si="21"/>
        <v>5.3748425698260299E-2</v>
      </c>
      <c r="F104" s="219">
        <f t="shared" si="22"/>
        <v>597.3654444657401</v>
      </c>
      <c r="G104" s="219">
        <f t="shared" si="23"/>
        <v>218038.38722999513</v>
      </c>
    </row>
    <row r="105" spans="2:7" x14ac:dyDescent="0.3">
      <c r="B105" s="2">
        <v>2033</v>
      </c>
      <c r="C105" s="105">
        <v>825871.55845010153</v>
      </c>
      <c r="D105" s="226">
        <f t="shared" si="20"/>
        <v>6.2534288430333464E-3</v>
      </c>
      <c r="E105" s="227">
        <f t="shared" si="21"/>
        <v>5.460840050943247E-2</v>
      </c>
      <c r="F105" s="219">
        <f t="shared" si="22"/>
        <v>606.923291577192</v>
      </c>
      <c r="G105" s="219">
        <f t="shared" si="23"/>
        <v>221527.00142567509</v>
      </c>
    </row>
    <row r="106" spans="2:7" x14ac:dyDescent="0.3">
      <c r="B106" s="2">
        <v>2034</v>
      </c>
      <c r="C106" s="105">
        <v>839085.50338530308</v>
      </c>
      <c r="D106" s="226">
        <f t="shared" si="20"/>
        <v>6.3534837045218793E-3</v>
      </c>
      <c r="E106" s="227">
        <f t="shared" si="21"/>
        <v>5.5482134917583394E-2</v>
      </c>
      <c r="F106" s="219">
        <f t="shared" si="22"/>
        <v>616.63406424242703</v>
      </c>
      <c r="G106" s="219">
        <f t="shared" si="23"/>
        <v>225071.43344848586</v>
      </c>
    </row>
    <row r="107" spans="2:7" x14ac:dyDescent="0.3">
      <c r="B107" s="2">
        <v>2035</v>
      </c>
      <c r="C107" s="105">
        <v>852510.871439468</v>
      </c>
      <c r="D107" s="226">
        <f t="shared" si="20"/>
        <v>6.45513944379423E-3</v>
      </c>
      <c r="E107" s="227">
        <f t="shared" si="21"/>
        <v>5.636984907626473E-2</v>
      </c>
      <c r="F107" s="219">
        <f t="shared" si="22"/>
        <v>626.50020927030596</v>
      </c>
      <c r="G107" s="219">
        <f t="shared" si="23"/>
        <v>228672.57638366168</v>
      </c>
    </row>
    <row r="108" spans="2:7" x14ac:dyDescent="0.3">
      <c r="B108" s="2">
        <v>2036</v>
      </c>
      <c r="C108" s="105">
        <v>866151.04538249946</v>
      </c>
      <c r="D108" s="226">
        <f t="shared" si="20"/>
        <v>6.5584216748949377E-3</v>
      </c>
      <c r="E108" s="227">
        <f t="shared" si="21"/>
        <v>5.7271766661484959E-2</v>
      </c>
      <c r="F108" s="219">
        <f t="shared" si="22"/>
        <v>636.52421261863071</v>
      </c>
      <c r="G108" s="219">
        <f t="shared" si="23"/>
        <v>232331.33760580022</v>
      </c>
    </row>
    <row r="109" spans="2:7" x14ac:dyDescent="0.3">
      <c r="B109" s="2">
        <v>2037</v>
      </c>
      <c r="C109" s="105">
        <v>880009.46210861951</v>
      </c>
      <c r="D109" s="226">
        <f t="shared" si="20"/>
        <v>6.6633564216932572E-3</v>
      </c>
      <c r="E109" s="227">
        <f t="shared" si="21"/>
        <v>5.8188114928068725E-2</v>
      </c>
      <c r="F109" s="219">
        <f t="shared" si="22"/>
        <v>646.70860002052893</v>
      </c>
      <c r="G109" s="219">
        <f t="shared" si="23"/>
        <v>236048.63900749307</v>
      </c>
    </row>
    <row r="110" spans="2:7" x14ac:dyDescent="0.3">
      <c r="B110" s="2">
        <v>2038</v>
      </c>
      <c r="C110" s="105">
        <v>894089.61350235739</v>
      </c>
      <c r="D110" s="226">
        <f t="shared" si="20"/>
        <v>6.7699701244403479E-3</v>
      </c>
      <c r="E110" s="227">
        <f t="shared" si="21"/>
        <v>5.9119124766917823E-2</v>
      </c>
      <c r="F110" s="219">
        <f t="shared" si="22"/>
        <v>657.05593762085743</v>
      </c>
      <c r="G110" s="219">
        <f t="shared" si="23"/>
        <v>239825.41723161296</v>
      </c>
    </row>
    <row r="111" spans="2:7" x14ac:dyDescent="0.3">
      <c r="B111" s="2">
        <v>2039</v>
      </c>
      <c r="C111" s="105">
        <v>908395.04731839511</v>
      </c>
      <c r="D111" s="226">
        <f t="shared" si="20"/>
        <v>6.8782896464313946E-3</v>
      </c>
      <c r="E111" s="227">
        <f t="shared" si="21"/>
        <v>6.0065030763188511E-2</v>
      </c>
      <c r="F111" s="219">
        <f t="shared" si="22"/>
        <v>667.56883262279121</v>
      </c>
      <c r="G111" s="219">
        <f t="shared" si="23"/>
        <v>243662.6239073188</v>
      </c>
    </row>
    <row r="112" spans="2:7" ht="15" thickBot="1" x14ac:dyDescent="0.35">
      <c r="B112" s="3">
        <v>2040</v>
      </c>
      <c r="C112" s="107">
        <v>922929.36807548942</v>
      </c>
      <c r="D112" s="228">
        <f t="shared" si="20"/>
        <v>6.9883422807742969E-3</v>
      </c>
      <c r="E112" s="229">
        <f t="shared" si="21"/>
        <v>6.1026071255399515E-2</v>
      </c>
      <c r="F112" s="220">
        <f t="shared" si="22"/>
        <v>678.24993394475564</v>
      </c>
      <c r="G112" s="220">
        <f t="shared" si="23"/>
        <v>247561.2258898358</v>
      </c>
    </row>
  </sheetData>
  <mergeCells count="32">
    <mergeCell ref="M2:M3"/>
    <mergeCell ref="I58:K61"/>
    <mergeCell ref="B30:B31"/>
    <mergeCell ref="C30:C31"/>
    <mergeCell ref="D30:G30"/>
    <mergeCell ref="B58:B59"/>
    <mergeCell ref="C58:C59"/>
    <mergeCell ref="D58:G58"/>
    <mergeCell ref="J54:K54"/>
    <mergeCell ref="J55:K55"/>
    <mergeCell ref="J56:K56"/>
    <mergeCell ref="I64:K64"/>
    <mergeCell ref="B86:B87"/>
    <mergeCell ref="C86:C87"/>
    <mergeCell ref="D86:G86"/>
    <mergeCell ref="J2:J3"/>
    <mergeCell ref="J30:P30"/>
    <mergeCell ref="J1:P1"/>
    <mergeCell ref="B2:B3"/>
    <mergeCell ref="C2:C3"/>
    <mergeCell ref="I69:L69"/>
    <mergeCell ref="N2:N3"/>
    <mergeCell ref="D2:H2"/>
    <mergeCell ref="I32:L32"/>
    <mergeCell ref="I42:L42"/>
    <mergeCell ref="J50:K50"/>
    <mergeCell ref="J57:K57"/>
    <mergeCell ref="I52:K52"/>
    <mergeCell ref="I67:K67"/>
    <mergeCell ref="J53:K53"/>
    <mergeCell ref="I66:M66"/>
    <mergeCell ref="I63:M6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workbookViewId="0">
      <selection activeCell="B11" sqref="B11:E15"/>
    </sheetView>
  </sheetViews>
  <sheetFormatPr defaultRowHeight="14.4" x14ac:dyDescent="0.3"/>
  <cols>
    <col min="1" max="1" width="4.109375" customWidth="1"/>
    <col min="2" max="2" width="14.33203125" bestFit="1" customWidth="1"/>
    <col min="3" max="3" width="15.6640625" customWidth="1"/>
    <col min="4" max="5" width="16.6640625" customWidth="1"/>
    <col min="6" max="6" width="3.6640625" customWidth="1"/>
    <col min="7" max="7" width="10.88671875" customWidth="1"/>
    <col min="8" max="8" width="16.6640625" customWidth="1"/>
    <col min="9" max="9" width="17.33203125" customWidth="1"/>
    <col min="10" max="10" width="13.88671875" customWidth="1"/>
    <col min="11" max="11" width="3.33203125" customWidth="1"/>
    <col min="12" max="12" width="20.5546875" customWidth="1"/>
    <col min="13" max="13" width="18.88671875" customWidth="1"/>
  </cols>
  <sheetData>
    <row r="1" spans="2:13" ht="15.75" thickBot="1" x14ac:dyDescent="0.3"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2:13" ht="30" customHeight="1" thickBot="1" x14ac:dyDescent="0.3">
      <c r="B2" s="442" t="s">
        <v>150</v>
      </c>
      <c r="C2" s="443"/>
      <c r="D2" s="443"/>
      <c r="E2" s="444"/>
      <c r="F2" s="198"/>
      <c r="G2" s="445" t="s">
        <v>160</v>
      </c>
      <c r="H2" s="446"/>
      <c r="I2" s="446"/>
      <c r="J2" s="447"/>
      <c r="K2" s="173"/>
      <c r="L2" s="472" t="s">
        <v>64</v>
      </c>
      <c r="M2" s="473"/>
    </row>
    <row r="3" spans="2:13" s="197" customFormat="1" ht="30" x14ac:dyDescent="0.25">
      <c r="B3" s="207" t="s">
        <v>151</v>
      </c>
      <c r="C3" s="208" t="s">
        <v>152</v>
      </c>
      <c r="D3" s="199" t="s">
        <v>153</v>
      </c>
      <c r="E3" s="209" t="s">
        <v>154</v>
      </c>
      <c r="F3" s="193"/>
      <c r="G3" s="200" t="s">
        <v>151</v>
      </c>
      <c r="H3" s="189" t="s">
        <v>161</v>
      </c>
      <c r="I3" s="189" t="s">
        <v>162</v>
      </c>
      <c r="J3" s="212" t="s">
        <v>154</v>
      </c>
      <c r="K3" s="111"/>
      <c r="L3" s="190" t="s">
        <v>0</v>
      </c>
      <c r="M3" s="190" t="s">
        <v>65</v>
      </c>
    </row>
    <row r="4" spans="2:13" ht="15.75" thickBot="1" x14ac:dyDescent="0.3">
      <c r="B4" s="201" t="s">
        <v>155</v>
      </c>
      <c r="C4" s="202">
        <v>1.034</v>
      </c>
      <c r="D4" s="203">
        <v>1.224</v>
      </c>
      <c r="E4" s="210">
        <v>1.129</v>
      </c>
      <c r="F4" s="198"/>
      <c r="G4" s="201" t="s">
        <v>155</v>
      </c>
      <c r="H4" s="202">
        <v>1.5860000000000001</v>
      </c>
      <c r="I4" s="202">
        <v>0.44700000000000001</v>
      </c>
      <c r="J4" s="210">
        <v>1.0165</v>
      </c>
      <c r="K4" s="173"/>
      <c r="L4" s="191"/>
      <c r="M4" s="192"/>
    </row>
    <row r="5" spans="2:13" ht="15" x14ac:dyDescent="0.25">
      <c r="B5" s="201" t="s">
        <v>156</v>
      </c>
      <c r="C5" s="202">
        <v>1.077</v>
      </c>
      <c r="D5" s="203">
        <v>1.2889999999999999</v>
      </c>
      <c r="E5" s="210">
        <v>1.1829999999999998</v>
      </c>
      <c r="F5" s="198"/>
      <c r="G5" s="201" t="s">
        <v>156</v>
      </c>
      <c r="H5" s="202">
        <v>1.635</v>
      </c>
      <c r="I5" s="202">
        <v>0.45300000000000001</v>
      </c>
      <c r="J5" s="210">
        <v>1.044</v>
      </c>
      <c r="K5" s="173"/>
      <c r="L5" s="72">
        <v>2016</v>
      </c>
      <c r="M5" s="75">
        <v>43</v>
      </c>
    </row>
    <row r="6" spans="2:13" ht="15" x14ac:dyDescent="0.25">
      <c r="B6" s="201" t="s">
        <v>157</v>
      </c>
      <c r="C6" s="202">
        <v>9.4</v>
      </c>
      <c r="D6" s="203">
        <v>11.84</v>
      </c>
      <c r="E6" s="210">
        <v>10.620000000000001</v>
      </c>
      <c r="F6" s="198"/>
      <c r="G6" s="201" t="s">
        <v>157</v>
      </c>
      <c r="H6" s="202">
        <v>13.13</v>
      </c>
      <c r="I6" s="202">
        <v>2.3109999999999999</v>
      </c>
      <c r="J6" s="210">
        <v>7.7205000000000004</v>
      </c>
      <c r="K6" s="173"/>
      <c r="L6" s="73">
        <v>2017</v>
      </c>
      <c r="M6" s="76">
        <v>44</v>
      </c>
    </row>
    <row r="7" spans="2:13" ht="15" x14ac:dyDescent="0.25">
      <c r="B7" s="201" t="s">
        <v>63</v>
      </c>
      <c r="C7" s="202">
        <v>0.69299999999999995</v>
      </c>
      <c r="D7" s="203">
        <v>0.95</v>
      </c>
      <c r="E7" s="210">
        <v>0.8214999999999999</v>
      </c>
      <c r="F7" s="198"/>
      <c r="G7" s="201" t="s">
        <v>63</v>
      </c>
      <c r="H7" s="202">
        <v>2.9140000000000001</v>
      </c>
      <c r="I7" s="202">
        <v>8.6129999999999995</v>
      </c>
      <c r="J7" s="210">
        <v>5.7634999999999996</v>
      </c>
      <c r="K7" s="173"/>
      <c r="L7" s="73">
        <v>2018</v>
      </c>
      <c r="M7" s="76">
        <v>45</v>
      </c>
    </row>
    <row r="8" spans="2:13" ht="15" x14ac:dyDescent="0.25">
      <c r="B8" s="201" t="s">
        <v>158</v>
      </c>
      <c r="C8" s="202">
        <v>4.4000000000000003E-3</v>
      </c>
      <c r="D8" s="203">
        <v>4.8999999999999998E-3</v>
      </c>
      <c r="E8" s="210">
        <v>4.6499999999999996E-3</v>
      </c>
      <c r="F8" s="198"/>
      <c r="G8" s="201" t="s">
        <v>158</v>
      </c>
      <c r="H8" s="202">
        <v>4.3999999999999997E-2</v>
      </c>
      <c r="I8" s="202">
        <v>0.20200000000000001</v>
      </c>
      <c r="J8" s="210">
        <v>0.123</v>
      </c>
      <c r="K8" s="173"/>
      <c r="L8" s="73">
        <v>2019</v>
      </c>
      <c r="M8" s="76">
        <v>46</v>
      </c>
    </row>
    <row r="9" spans="2:13" ht="15.75" thickBot="1" x14ac:dyDescent="0.3">
      <c r="B9" s="201" t="s">
        <v>159</v>
      </c>
      <c r="C9" s="202">
        <v>4.1000000000000003E-3</v>
      </c>
      <c r="D9" s="203">
        <v>4.4999999999999997E-3</v>
      </c>
      <c r="E9" s="210">
        <v>4.3E-3</v>
      </c>
      <c r="F9" s="198"/>
      <c r="G9" s="204" t="s">
        <v>159</v>
      </c>
      <c r="H9" s="205">
        <v>5.0999999999999997E-2</v>
      </c>
      <c r="I9" s="205">
        <v>0.219</v>
      </c>
      <c r="J9" s="211">
        <v>0.13500000000000001</v>
      </c>
      <c r="K9" s="173"/>
      <c r="L9" s="73">
        <v>2020</v>
      </c>
      <c r="M9" s="76">
        <v>47</v>
      </c>
    </row>
    <row r="10" spans="2:13" ht="15.75" thickBot="1" x14ac:dyDescent="0.3">
      <c r="B10" s="204" t="s">
        <v>62</v>
      </c>
      <c r="C10" s="205">
        <v>368.4</v>
      </c>
      <c r="D10" s="206">
        <v>513.5</v>
      </c>
      <c r="E10" s="211">
        <v>440.95</v>
      </c>
      <c r="F10" s="198"/>
      <c r="G10" s="204" t="s">
        <v>62</v>
      </c>
      <c r="H10" s="448" t="s">
        <v>168</v>
      </c>
      <c r="I10" s="449"/>
      <c r="J10" s="211">
        <v>513.5</v>
      </c>
      <c r="K10" s="173"/>
      <c r="L10" s="73">
        <v>2021</v>
      </c>
      <c r="M10" s="76">
        <v>47</v>
      </c>
    </row>
    <row r="11" spans="2:13" ht="15" customHeight="1" x14ac:dyDescent="0.3">
      <c r="B11" s="480" t="s">
        <v>164</v>
      </c>
      <c r="C11" s="481"/>
      <c r="D11" s="481"/>
      <c r="E11" s="482"/>
      <c r="G11" s="474" t="s">
        <v>166</v>
      </c>
      <c r="H11" s="489"/>
      <c r="I11" s="489"/>
      <c r="J11" s="475"/>
      <c r="K11" s="173"/>
      <c r="L11" s="73">
        <v>2022</v>
      </c>
      <c r="M11" s="76">
        <v>49</v>
      </c>
    </row>
    <row r="12" spans="2:13" x14ac:dyDescent="0.3">
      <c r="B12" s="483"/>
      <c r="C12" s="484"/>
      <c r="D12" s="484"/>
      <c r="E12" s="485"/>
      <c r="G12" s="476"/>
      <c r="H12" s="490"/>
      <c r="I12" s="490"/>
      <c r="J12" s="477"/>
      <c r="L12" s="73">
        <v>2023</v>
      </c>
      <c r="M12" s="76">
        <v>50</v>
      </c>
    </row>
    <row r="13" spans="2:13" x14ac:dyDescent="0.3">
      <c r="B13" s="483"/>
      <c r="C13" s="484"/>
      <c r="D13" s="484"/>
      <c r="E13" s="485"/>
      <c r="G13" s="476"/>
      <c r="H13" s="490"/>
      <c r="I13" s="490"/>
      <c r="J13" s="477"/>
      <c r="L13" s="73">
        <v>2024</v>
      </c>
      <c r="M13" s="76">
        <v>51</v>
      </c>
    </row>
    <row r="14" spans="2:13" x14ac:dyDescent="0.3">
      <c r="B14" s="483"/>
      <c r="C14" s="484"/>
      <c r="D14" s="484"/>
      <c r="E14" s="485"/>
      <c r="G14" s="476"/>
      <c r="H14" s="490"/>
      <c r="I14" s="490"/>
      <c r="J14" s="477"/>
      <c r="L14" s="73">
        <v>2025</v>
      </c>
      <c r="M14" s="76">
        <v>52</v>
      </c>
    </row>
    <row r="15" spans="2:13" ht="15" thickBot="1" x14ac:dyDescent="0.35">
      <c r="B15" s="486"/>
      <c r="C15" s="487"/>
      <c r="D15" s="487"/>
      <c r="E15" s="488"/>
      <c r="G15" s="478"/>
      <c r="H15" s="491"/>
      <c r="I15" s="491"/>
      <c r="J15" s="479"/>
      <c r="L15" s="73">
        <v>2026</v>
      </c>
      <c r="M15" s="76">
        <v>53</v>
      </c>
    </row>
    <row r="16" spans="2:13" ht="15.75" thickBot="1" x14ac:dyDescent="0.3">
      <c r="B16" s="492" t="s">
        <v>165</v>
      </c>
      <c r="C16" s="449"/>
      <c r="D16" s="449"/>
      <c r="E16" s="493"/>
      <c r="G16" s="492" t="s">
        <v>167</v>
      </c>
      <c r="H16" s="449"/>
      <c r="I16" s="449"/>
      <c r="J16" s="493"/>
      <c r="L16" s="73">
        <v>2027</v>
      </c>
      <c r="M16" s="76">
        <v>54</v>
      </c>
    </row>
    <row r="17" spans="12:13" ht="15" x14ac:dyDescent="0.25">
      <c r="L17" s="73">
        <v>2028</v>
      </c>
      <c r="M17" s="76">
        <v>55</v>
      </c>
    </row>
    <row r="18" spans="12:13" ht="15" x14ac:dyDescent="0.25">
      <c r="L18" s="73">
        <v>2029</v>
      </c>
      <c r="M18" s="76">
        <v>55</v>
      </c>
    </row>
    <row r="19" spans="12:13" ht="15" x14ac:dyDescent="0.25">
      <c r="L19" s="73">
        <v>2030</v>
      </c>
      <c r="M19" s="76">
        <v>57</v>
      </c>
    </row>
    <row r="20" spans="12:13" ht="15" x14ac:dyDescent="0.25">
      <c r="L20" s="73">
        <v>2031</v>
      </c>
      <c r="M20" s="76">
        <v>58</v>
      </c>
    </row>
    <row r="21" spans="12:13" ht="15" x14ac:dyDescent="0.25">
      <c r="L21" s="73">
        <v>2032</v>
      </c>
      <c r="M21" s="76">
        <v>59</v>
      </c>
    </row>
    <row r="22" spans="12:13" ht="15" x14ac:dyDescent="0.25">
      <c r="L22" s="73">
        <v>2033</v>
      </c>
      <c r="M22" s="76">
        <v>60</v>
      </c>
    </row>
    <row r="23" spans="12:13" ht="15" x14ac:dyDescent="0.25">
      <c r="L23" s="73">
        <v>2034</v>
      </c>
      <c r="M23" s="76">
        <v>61</v>
      </c>
    </row>
    <row r="24" spans="12:13" ht="15" customHeight="1" x14ac:dyDescent="0.25">
      <c r="L24" s="73">
        <v>2035</v>
      </c>
      <c r="M24" s="76">
        <v>62</v>
      </c>
    </row>
    <row r="25" spans="12:13" ht="15" x14ac:dyDescent="0.25">
      <c r="L25" s="73">
        <v>2036</v>
      </c>
      <c r="M25" s="76">
        <v>63</v>
      </c>
    </row>
    <row r="26" spans="12:13" ht="15" customHeight="1" x14ac:dyDescent="0.25">
      <c r="L26" s="73">
        <v>2037</v>
      </c>
      <c r="M26" s="76">
        <v>64</v>
      </c>
    </row>
    <row r="27" spans="12:13" ht="15" x14ac:dyDescent="0.25">
      <c r="L27" s="73">
        <v>2038</v>
      </c>
      <c r="M27" s="76">
        <v>66</v>
      </c>
    </row>
    <row r="28" spans="12:13" ht="15" x14ac:dyDescent="0.25">
      <c r="L28" s="73">
        <v>2039</v>
      </c>
      <c r="M28" s="76">
        <v>67</v>
      </c>
    </row>
    <row r="29" spans="12:13" ht="15.75" thickBot="1" x14ac:dyDescent="0.3">
      <c r="L29" s="74">
        <v>2040</v>
      </c>
      <c r="M29" s="77">
        <v>68</v>
      </c>
    </row>
    <row r="30" spans="12:13" ht="15" customHeight="1" x14ac:dyDescent="0.3">
      <c r="L30" s="474" t="s">
        <v>163</v>
      </c>
      <c r="M30" s="475"/>
    </row>
    <row r="31" spans="12:13" x14ac:dyDescent="0.3">
      <c r="L31" s="476"/>
      <c r="M31" s="477"/>
    </row>
    <row r="32" spans="12:13" x14ac:dyDescent="0.3">
      <c r="L32" s="476"/>
      <c r="M32" s="477"/>
    </row>
    <row r="33" spans="12:13" ht="15" thickBot="1" x14ac:dyDescent="0.35">
      <c r="L33" s="478"/>
      <c r="M33" s="479"/>
    </row>
    <row r="38" spans="12:13" ht="15" customHeight="1" x14ac:dyDescent="0.3"/>
    <row r="51" spans="2:2" x14ac:dyDescent="0.3">
      <c r="B51" s="111"/>
    </row>
    <row r="52" spans="2:2" x14ac:dyDescent="0.3">
      <c r="B52" s="111"/>
    </row>
  </sheetData>
  <mergeCells count="9">
    <mergeCell ref="L2:M2"/>
    <mergeCell ref="L30:M33"/>
    <mergeCell ref="B11:E15"/>
    <mergeCell ref="G11:J15"/>
    <mergeCell ref="G16:J16"/>
    <mergeCell ref="B2:E2"/>
    <mergeCell ref="B16:E16"/>
    <mergeCell ref="H10:I10"/>
    <mergeCell ref="G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workbookViewId="0">
      <selection sqref="A1:XFD1"/>
    </sheetView>
  </sheetViews>
  <sheetFormatPr defaultRowHeight="14.4" x14ac:dyDescent="0.3"/>
  <cols>
    <col min="2" max="2" width="6.5546875" bestFit="1" customWidth="1"/>
    <col min="3" max="3" width="13.6640625" customWidth="1"/>
    <col min="4" max="4" width="15.88671875" customWidth="1"/>
    <col min="5" max="5" width="13" customWidth="1"/>
    <col min="6" max="6" width="16.6640625" customWidth="1"/>
    <col min="7" max="7" width="46.88671875" customWidth="1"/>
    <col min="8" max="8" width="31" customWidth="1"/>
    <col min="9" max="9" width="23.88671875" customWidth="1"/>
    <col min="10" max="10" width="12.33203125" customWidth="1"/>
    <col min="12" max="12" width="12.5546875" bestFit="1" customWidth="1"/>
  </cols>
  <sheetData>
    <row r="1" spans="2:9" ht="18.75" thickBot="1" x14ac:dyDescent="0.3">
      <c r="B1" s="497" t="s">
        <v>204</v>
      </c>
      <c r="C1" s="498"/>
      <c r="D1" s="498"/>
      <c r="E1" s="498"/>
      <c r="F1" s="498"/>
      <c r="G1" s="498"/>
      <c r="H1" s="498"/>
      <c r="I1" s="499"/>
    </row>
    <row r="2" spans="2:9" ht="15" customHeight="1" x14ac:dyDescent="0.3">
      <c r="B2" s="503" t="s">
        <v>0</v>
      </c>
      <c r="C2" s="505" t="s">
        <v>44</v>
      </c>
      <c r="D2" s="506"/>
      <c r="E2" s="507" t="s">
        <v>45</v>
      </c>
      <c r="F2" s="506"/>
      <c r="G2" s="495" t="s">
        <v>93</v>
      </c>
      <c r="H2" s="495" t="s">
        <v>94</v>
      </c>
      <c r="I2" s="495" t="s">
        <v>100</v>
      </c>
    </row>
    <row r="3" spans="2:9" ht="15" thickBot="1" x14ac:dyDescent="0.35">
      <c r="B3" s="504"/>
      <c r="C3" s="79" t="s">
        <v>49</v>
      </c>
      <c r="D3" s="80" t="s">
        <v>46</v>
      </c>
      <c r="E3" s="79" t="s">
        <v>49</v>
      </c>
      <c r="F3" s="80" t="s">
        <v>46</v>
      </c>
      <c r="G3" s="508"/>
      <c r="H3" s="496"/>
      <c r="I3" s="496"/>
    </row>
    <row r="4" spans="2:9" ht="15" x14ac:dyDescent="0.25">
      <c r="B4" s="81">
        <v>2016</v>
      </c>
      <c r="C4" s="159" t="s">
        <v>47</v>
      </c>
      <c r="D4" s="160">
        <f>16400*44.33</f>
        <v>727012</v>
      </c>
      <c r="E4" s="159" t="s">
        <v>47</v>
      </c>
      <c r="F4" s="160">
        <f>16400*44.33</f>
        <v>727012</v>
      </c>
      <c r="G4" s="161">
        <f>IF((F4-D4)&lt;0,0,(F4-D4))</f>
        <v>0</v>
      </c>
      <c r="H4" s="170">
        <f>G4/(1+$E$35)^(B4-$B$4)</f>
        <v>0</v>
      </c>
      <c r="I4" s="85">
        <f>G4/(1+3%)^(B4-$B$4)</f>
        <v>0</v>
      </c>
    </row>
    <row r="5" spans="2:9" ht="15" x14ac:dyDescent="0.25">
      <c r="B5" s="86">
        <v>2017</v>
      </c>
      <c r="C5" s="82" t="s">
        <v>47</v>
      </c>
      <c r="D5" s="83">
        <f>16400*44.33</f>
        <v>727012</v>
      </c>
      <c r="E5" s="82" t="s">
        <v>47</v>
      </c>
      <c r="F5" s="83">
        <f t="shared" ref="F5:F28" si="0">16400*44.33</f>
        <v>727012</v>
      </c>
      <c r="G5" s="84">
        <f t="shared" ref="G5:G28" si="1">IF((F5-D5)&lt;0,0,(F5-D5))</f>
        <v>0</v>
      </c>
      <c r="H5" s="171">
        <f t="shared" ref="H5:H28" si="2">G5/(1+$E$35)^(B5-$B$4)</f>
        <v>0</v>
      </c>
      <c r="I5" s="87">
        <f t="shared" ref="I5:I28" si="3">G5/(1+3%)^(B5-$B$4)</f>
        <v>0</v>
      </c>
    </row>
    <row r="6" spans="2:9" ht="15" x14ac:dyDescent="0.25">
      <c r="B6" s="86">
        <v>2018</v>
      </c>
      <c r="C6" s="82" t="s">
        <v>47</v>
      </c>
      <c r="D6" s="89">
        <v>0</v>
      </c>
      <c r="E6" s="82" t="s">
        <v>47</v>
      </c>
      <c r="F6" s="83">
        <f t="shared" si="0"/>
        <v>727012</v>
      </c>
      <c r="G6" s="84">
        <f t="shared" si="1"/>
        <v>727012</v>
      </c>
      <c r="H6" s="171">
        <f t="shared" si="2"/>
        <v>635000.43671936414</v>
      </c>
      <c r="I6" s="87">
        <f t="shared" si="3"/>
        <v>685278.53709114902</v>
      </c>
    </row>
    <row r="7" spans="2:9" ht="15" x14ac:dyDescent="0.25">
      <c r="B7" s="86">
        <v>2019</v>
      </c>
      <c r="C7" s="82" t="s">
        <v>47</v>
      </c>
      <c r="D7" s="89">
        <v>0</v>
      </c>
      <c r="E7" s="82" t="s">
        <v>47</v>
      </c>
      <c r="F7" s="83">
        <f t="shared" si="0"/>
        <v>727012</v>
      </c>
      <c r="G7" s="84">
        <f t="shared" si="1"/>
        <v>727012</v>
      </c>
      <c r="H7" s="171">
        <f t="shared" si="2"/>
        <v>593458.352074172</v>
      </c>
      <c r="I7" s="87">
        <f t="shared" si="3"/>
        <v>665318.96804965928</v>
      </c>
    </row>
    <row r="8" spans="2:9" ht="15" x14ac:dyDescent="0.25">
      <c r="B8" s="86">
        <v>2020</v>
      </c>
      <c r="C8" s="82" t="s">
        <v>47</v>
      </c>
      <c r="D8" s="89">
        <v>0</v>
      </c>
      <c r="E8" s="82" t="s">
        <v>47</v>
      </c>
      <c r="F8" s="83">
        <f t="shared" si="0"/>
        <v>727012</v>
      </c>
      <c r="G8" s="84">
        <f t="shared" si="1"/>
        <v>727012</v>
      </c>
      <c r="H8" s="171">
        <f t="shared" si="2"/>
        <v>554633.97390109545</v>
      </c>
      <c r="I8" s="87">
        <f t="shared" si="3"/>
        <v>645940.74567928084</v>
      </c>
    </row>
    <row r="9" spans="2:9" ht="15" x14ac:dyDescent="0.25">
      <c r="B9" s="86">
        <v>2021</v>
      </c>
      <c r="C9" s="82" t="s">
        <v>47</v>
      </c>
      <c r="D9" s="83">
        <f>12300*44.33</f>
        <v>545259</v>
      </c>
      <c r="E9" s="82" t="s">
        <v>47</v>
      </c>
      <c r="F9" s="83">
        <f t="shared" si="0"/>
        <v>727012</v>
      </c>
      <c r="G9" s="84">
        <f t="shared" si="1"/>
        <v>181753</v>
      </c>
      <c r="H9" s="171">
        <f t="shared" si="2"/>
        <v>129587.37707969517</v>
      </c>
      <c r="I9" s="87">
        <f t="shared" si="3"/>
        <v>156781.73438817498</v>
      </c>
    </row>
    <row r="10" spans="2:9" ht="15" x14ac:dyDescent="0.25">
      <c r="B10" s="86">
        <v>2022</v>
      </c>
      <c r="C10" s="82" t="s">
        <v>47</v>
      </c>
      <c r="D10" s="83">
        <f t="shared" ref="D10:D28" si="4">12300*44.33</f>
        <v>545259</v>
      </c>
      <c r="E10" s="82" t="s">
        <v>47</v>
      </c>
      <c r="F10" s="83">
        <f t="shared" si="0"/>
        <v>727012</v>
      </c>
      <c r="G10" s="84">
        <f t="shared" si="1"/>
        <v>181753</v>
      </c>
      <c r="H10" s="171">
        <f t="shared" si="2"/>
        <v>121109.69820532261</v>
      </c>
      <c r="I10" s="87">
        <f t="shared" si="3"/>
        <v>152215.27610502424</v>
      </c>
    </row>
    <row r="11" spans="2:9" ht="15" x14ac:dyDescent="0.25">
      <c r="B11" s="86">
        <v>2023</v>
      </c>
      <c r="C11" s="82" t="s">
        <v>47</v>
      </c>
      <c r="D11" s="83">
        <f t="shared" si="4"/>
        <v>545259</v>
      </c>
      <c r="E11" s="82" t="s">
        <v>47</v>
      </c>
      <c r="F11" s="83">
        <f t="shared" si="0"/>
        <v>727012</v>
      </c>
      <c r="G11" s="84">
        <f t="shared" si="1"/>
        <v>181753</v>
      </c>
      <c r="H11" s="171">
        <f t="shared" si="2"/>
        <v>113186.63383675009</v>
      </c>
      <c r="I11" s="87">
        <f t="shared" si="3"/>
        <v>147781.82146118858</v>
      </c>
    </row>
    <row r="12" spans="2:9" ht="15" x14ac:dyDescent="0.25">
      <c r="B12" s="86">
        <v>2024</v>
      </c>
      <c r="C12" s="82" t="s">
        <v>47</v>
      </c>
      <c r="D12" s="83">
        <f t="shared" si="4"/>
        <v>545259</v>
      </c>
      <c r="E12" s="82" t="s">
        <v>47</v>
      </c>
      <c r="F12" s="83">
        <f t="shared" si="0"/>
        <v>727012</v>
      </c>
      <c r="G12" s="84">
        <f t="shared" si="1"/>
        <v>181753</v>
      </c>
      <c r="H12" s="171">
        <f t="shared" si="2"/>
        <v>105781.90078200943</v>
      </c>
      <c r="I12" s="87">
        <f t="shared" si="3"/>
        <v>143477.49656426077</v>
      </c>
    </row>
    <row r="13" spans="2:9" ht="15" x14ac:dyDescent="0.25">
      <c r="B13" s="86">
        <v>2025</v>
      </c>
      <c r="C13" s="82" t="s">
        <v>47</v>
      </c>
      <c r="D13" s="83">
        <f t="shared" si="4"/>
        <v>545259</v>
      </c>
      <c r="E13" s="82" t="s">
        <v>47</v>
      </c>
      <c r="F13" s="83">
        <f t="shared" si="0"/>
        <v>727012</v>
      </c>
      <c r="G13" s="84">
        <f t="shared" si="1"/>
        <v>181753</v>
      </c>
      <c r="H13" s="171">
        <f t="shared" si="2"/>
        <v>98861.58951589666</v>
      </c>
      <c r="I13" s="87">
        <f t="shared" si="3"/>
        <v>139298.54035365122</v>
      </c>
    </row>
    <row r="14" spans="2:9" ht="15" x14ac:dyDescent="0.25">
      <c r="B14" s="86">
        <v>2026</v>
      </c>
      <c r="C14" s="82" t="s">
        <v>47</v>
      </c>
      <c r="D14" s="83">
        <f t="shared" si="4"/>
        <v>545259</v>
      </c>
      <c r="E14" s="82" t="s">
        <v>47</v>
      </c>
      <c r="F14" s="83">
        <f t="shared" si="0"/>
        <v>727012</v>
      </c>
      <c r="G14" s="84">
        <f t="shared" si="1"/>
        <v>181753</v>
      </c>
      <c r="H14" s="171">
        <f t="shared" si="2"/>
        <v>92394.008893361359</v>
      </c>
      <c r="I14" s="87">
        <f t="shared" si="3"/>
        <v>135241.30131422449</v>
      </c>
    </row>
    <row r="15" spans="2:9" ht="15" x14ac:dyDescent="0.25">
      <c r="B15" s="86">
        <v>2027</v>
      </c>
      <c r="C15" s="82" t="s">
        <v>47</v>
      </c>
      <c r="D15" s="83">
        <f t="shared" si="4"/>
        <v>545259</v>
      </c>
      <c r="E15" s="82" t="s">
        <v>47</v>
      </c>
      <c r="F15" s="83">
        <f t="shared" si="0"/>
        <v>727012</v>
      </c>
      <c r="G15" s="84">
        <f t="shared" si="1"/>
        <v>181753</v>
      </c>
      <c r="H15" s="171">
        <f t="shared" si="2"/>
        <v>86349.541021833036</v>
      </c>
      <c r="I15" s="87">
        <f t="shared" si="3"/>
        <v>131302.23428565485</v>
      </c>
    </row>
    <row r="16" spans="2:9" ht="15" x14ac:dyDescent="0.25">
      <c r="B16" s="86">
        <v>2028</v>
      </c>
      <c r="C16" s="82" t="s">
        <v>47</v>
      </c>
      <c r="D16" s="83">
        <f t="shared" si="4"/>
        <v>545259</v>
      </c>
      <c r="E16" s="82" t="s">
        <v>47</v>
      </c>
      <c r="F16" s="83">
        <f t="shared" si="0"/>
        <v>727012</v>
      </c>
      <c r="G16" s="84">
        <f t="shared" si="1"/>
        <v>181753</v>
      </c>
      <c r="H16" s="171">
        <f t="shared" si="2"/>
        <v>80700.505627881357</v>
      </c>
      <c r="I16" s="87">
        <f t="shared" si="3"/>
        <v>127477.89736471346</v>
      </c>
    </row>
    <row r="17" spans="2:9" ht="15" x14ac:dyDescent="0.25">
      <c r="B17" s="86">
        <v>2029</v>
      </c>
      <c r="C17" s="82" t="s">
        <v>47</v>
      </c>
      <c r="D17" s="83">
        <f t="shared" si="4"/>
        <v>545259</v>
      </c>
      <c r="E17" s="82" t="s">
        <v>47</v>
      </c>
      <c r="F17" s="83">
        <f t="shared" si="0"/>
        <v>727012</v>
      </c>
      <c r="G17" s="84">
        <f t="shared" si="1"/>
        <v>181753</v>
      </c>
      <c r="H17" s="171">
        <f t="shared" si="2"/>
        <v>75421.033297085378</v>
      </c>
      <c r="I17" s="87">
        <f t="shared" si="3"/>
        <v>123764.94889778006</v>
      </c>
    </row>
    <row r="18" spans="2:9" ht="15" x14ac:dyDescent="0.25">
      <c r="B18" s="86">
        <v>2030</v>
      </c>
      <c r="C18" s="82" t="s">
        <v>47</v>
      </c>
      <c r="D18" s="83">
        <f t="shared" si="4"/>
        <v>545259</v>
      </c>
      <c r="E18" s="82" t="s">
        <v>47</v>
      </c>
      <c r="F18" s="83">
        <f t="shared" si="0"/>
        <v>727012</v>
      </c>
      <c r="G18" s="84">
        <f t="shared" si="1"/>
        <v>181753</v>
      </c>
      <c r="H18" s="171">
        <f t="shared" si="2"/>
        <v>70486.947006621849</v>
      </c>
      <c r="I18" s="87">
        <f t="shared" si="3"/>
        <v>120160.14456095151</v>
      </c>
    </row>
    <row r="19" spans="2:9" ht="15" x14ac:dyDescent="0.25">
      <c r="B19" s="86">
        <v>2031</v>
      </c>
      <c r="C19" s="82" t="s">
        <v>47</v>
      </c>
      <c r="D19" s="83">
        <f t="shared" si="4"/>
        <v>545259</v>
      </c>
      <c r="E19" s="82" t="s">
        <v>47</v>
      </c>
      <c r="F19" s="83">
        <f t="shared" si="0"/>
        <v>727012</v>
      </c>
      <c r="G19" s="84">
        <f t="shared" si="1"/>
        <v>181753</v>
      </c>
      <c r="H19" s="171">
        <f t="shared" si="2"/>
        <v>65875.651408057791</v>
      </c>
      <c r="I19" s="87">
        <f t="shared" si="3"/>
        <v>116660.33452519563</v>
      </c>
    </row>
    <row r="20" spans="2:9" ht="15" x14ac:dyDescent="0.25">
      <c r="B20" s="86">
        <v>2032</v>
      </c>
      <c r="C20" s="82" t="s">
        <v>47</v>
      </c>
      <c r="D20" s="83">
        <f t="shared" si="4"/>
        <v>545259</v>
      </c>
      <c r="E20" s="82" t="s">
        <v>47</v>
      </c>
      <c r="F20" s="83">
        <f t="shared" si="0"/>
        <v>727012</v>
      </c>
      <c r="G20" s="84">
        <f t="shared" si="1"/>
        <v>181753</v>
      </c>
      <c r="H20" s="171">
        <f t="shared" si="2"/>
        <v>61566.029353325051</v>
      </c>
      <c r="I20" s="87">
        <f t="shared" si="3"/>
        <v>113262.46070407344</v>
      </c>
    </row>
    <row r="21" spans="2:9" ht="15" x14ac:dyDescent="0.25">
      <c r="B21" s="86">
        <v>2033</v>
      </c>
      <c r="C21" s="82" t="s">
        <v>47</v>
      </c>
      <c r="D21" s="83">
        <f t="shared" si="4"/>
        <v>545259</v>
      </c>
      <c r="E21" s="82" t="s">
        <v>47</v>
      </c>
      <c r="F21" s="83">
        <f t="shared" si="0"/>
        <v>727012</v>
      </c>
      <c r="G21" s="84">
        <f t="shared" si="1"/>
        <v>181753</v>
      </c>
      <c r="H21" s="171">
        <f t="shared" si="2"/>
        <v>57538.345190023414</v>
      </c>
      <c r="I21" s="87">
        <f t="shared" si="3"/>
        <v>109963.55408162471</v>
      </c>
    </row>
    <row r="22" spans="2:9" ht="15" x14ac:dyDescent="0.25">
      <c r="B22" s="86">
        <v>2034</v>
      </c>
      <c r="C22" s="82" t="s">
        <v>47</v>
      </c>
      <c r="D22" s="83">
        <f t="shared" si="4"/>
        <v>545259</v>
      </c>
      <c r="E22" s="82" t="s">
        <v>47</v>
      </c>
      <c r="F22" s="83">
        <f t="shared" si="0"/>
        <v>727012</v>
      </c>
      <c r="G22" s="84">
        <f t="shared" si="1"/>
        <v>181753</v>
      </c>
      <c r="H22" s="171">
        <f t="shared" si="2"/>
        <v>53774.15438319945</v>
      </c>
      <c r="I22" s="87">
        <f t="shared" si="3"/>
        <v>106760.73211808223</v>
      </c>
    </row>
    <row r="23" spans="2:9" ht="15" x14ac:dyDescent="0.25">
      <c r="B23" s="86">
        <v>2035</v>
      </c>
      <c r="C23" s="82" t="s">
        <v>47</v>
      </c>
      <c r="D23" s="83">
        <f t="shared" si="4"/>
        <v>545259</v>
      </c>
      <c r="E23" s="82" t="s">
        <v>47</v>
      </c>
      <c r="F23" s="83">
        <f t="shared" si="0"/>
        <v>727012</v>
      </c>
      <c r="G23" s="84">
        <f t="shared" si="1"/>
        <v>181753</v>
      </c>
      <c r="H23" s="171">
        <f t="shared" si="2"/>
        <v>50256.219049719111</v>
      </c>
      <c r="I23" s="87">
        <f t="shared" si="3"/>
        <v>103651.1962311478</v>
      </c>
    </row>
    <row r="24" spans="2:9" ht="15" x14ac:dyDescent="0.25">
      <c r="B24" s="86">
        <v>2036</v>
      </c>
      <c r="C24" s="82" t="s">
        <v>47</v>
      </c>
      <c r="D24" s="83">
        <f t="shared" si="4"/>
        <v>545259</v>
      </c>
      <c r="E24" s="82" t="s">
        <v>47</v>
      </c>
      <c r="F24" s="83">
        <f t="shared" si="0"/>
        <v>727012</v>
      </c>
      <c r="G24" s="84">
        <f t="shared" si="1"/>
        <v>181753</v>
      </c>
      <c r="H24" s="171">
        <f t="shared" si="2"/>
        <v>46968.42901842908</v>
      </c>
      <c r="I24" s="87">
        <f t="shared" si="3"/>
        <v>100632.22935062894</v>
      </c>
    </row>
    <row r="25" spans="2:9" ht="15" x14ac:dyDescent="0.25">
      <c r="B25" s="86">
        <v>2037</v>
      </c>
      <c r="C25" s="82" t="s">
        <v>47</v>
      </c>
      <c r="D25" s="83">
        <f t="shared" si="4"/>
        <v>545259</v>
      </c>
      <c r="E25" s="82" t="s">
        <v>47</v>
      </c>
      <c r="F25" s="83">
        <f t="shared" si="0"/>
        <v>727012</v>
      </c>
      <c r="G25" s="84">
        <f t="shared" si="1"/>
        <v>181753</v>
      </c>
      <c r="H25" s="171">
        <f t="shared" si="2"/>
        <v>43895.72805460661</v>
      </c>
      <c r="I25" s="87">
        <f t="shared" si="3"/>
        <v>97701.193544299953</v>
      </c>
    </row>
    <row r="26" spans="2:9" ht="15" x14ac:dyDescent="0.25">
      <c r="B26" s="86">
        <v>2038</v>
      </c>
      <c r="C26" s="82" t="s">
        <v>47</v>
      </c>
      <c r="D26" s="83">
        <f t="shared" si="4"/>
        <v>545259</v>
      </c>
      <c r="E26" s="82" t="s">
        <v>47</v>
      </c>
      <c r="F26" s="83">
        <f t="shared" si="0"/>
        <v>727012</v>
      </c>
      <c r="G26" s="84">
        <f t="shared" si="1"/>
        <v>181753</v>
      </c>
      <c r="H26" s="171">
        <f t="shared" si="2"/>
        <v>41024.044910847304</v>
      </c>
      <c r="I26" s="87">
        <f t="shared" si="3"/>
        <v>94855.527712912561</v>
      </c>
    </row>
    <row r="27" spans="2:9" ht="15" x14ac:dyDescent="0.25">
      <c r="B27" s="86">
        <v>2039</v>
      </c>
      <c r="C27" s="82" t="s">
        <v>47</v>
      </c>
      <c r="D27" s="83">
        <f t="shared" si="4"/>
        <v>545259</v>
      </c>
      <c r="E27" s="82" t="s">
        <v>47</v>
      </c>
      <c r="F27" s="83">
        <f t="shared" si="0"/>
        <v>727012</v>
      </c>
      <c r="G27" s="84">
        <f t="shared" si="1"/>
        <v>181753</v>
      </c>
      <c r="H27" s="171">
        <f t="shared" si="2"/>
        <v>38340.228888642334</v>
      </c>
      <c r="I27" s="87">
        <f t="shared" si="3"/>
        <v>92092.745352342288</v>
      </c>
    </row>
    <row r="28" spans="2:9" ht="15.75" thickBot="1" x14ac:dyDescent="0.3">
      <c r="B28" s="162">
        <v>2040</v>
      </c>
      <c r="C28" s="163" t="s">
        <v>47</v>
      </c>
      <c r="D28" s="164">
        <f t="shared" si="4"/>
        <v>545259</v>
      </c>
      <c r="E28" s="163" t="s">
        <v>47</v>
      </c>
      <c r="F28" s="164">
        <f t="shared" si="0"/>
        <v>727012</v>
      </c>
      <c r="G28" s="165">
        <f t="shared" si="1"/>
        <v>181753</v>
      </c>
      <c r="H28" s="172">
        <f t="shared" si="2"/>
        <v>35831.989615553583</v>
      </c>
      <c r="I28" s="166">
        <f t="shared" si="3"/>
        <v>89410.432380914863</v>
      </c>
    </row>
    <row r="29" spans="2:9" ht="15.75" thickBot="1" x14ac:dyDescent="0.3">
      <c r="B29" s="90" t="s">
        <v>48</v>
      </c>
      <c r="C29" s="91"/>
      <c r="D29" s="92">
        <f>SUM(D4:D28)</f>
        <v>12359204</v>
      </c>
      <c r="E29" s="91"/>
      <c r="F29" s="92">
        <f>SUM(F4:F28)</f>
        <v>18175300</v>
      </c>
      <c r="G29" s="93">
        <f>SUM(G4:G28)</f>
        <v>5816096</v>
      </c>
      <c r="H29" s="94">
        <f>SUM(H4:H28)</f>
        <v>3252042.8178334925</v>
      </c>
      <c r="I29" s="94">
        <f>SUM(I4:I28)</f>
        <v>4399030.0521169351</v>
      </c>
    </row>
    <row r="31" spans="2:9" ht="15" x14ac:dyDescent="0.25">
      <c r="B31" s="500" t="s">
        <v>51</v>
      </c>
      <c r="C31" s="500"/>
      <c r="D31" s="500"/>
    </row>
    <row r="32" spans="2:9" ht="15" x14ac:dyDescent="0.25">
      <c r="B32" s="500" t="s">
        <v>50</v>
      </c>
      <c r="C32" s="500"/>
      <c r="D32" s="168">
        <v>88800000</v>
      </c>
    </row>
    <row r="33" spans="2:5" ht="15" x14ac:dyDescent="0.25">
      <c r="B33" s="501" t="s">
        <v>52</v>
      </c>
      <c r="C33" s="502"/>
      <c r="D33" s="169">
        <f>D32/3</f>
        <v>29600000</v>
      </c>
    </row>
    <row r="35" spans="2:5" ht="15" x14ac:dyDescent="0.25">
      <c r="B35" s="494" t="s">
        <v>31</v>
      </c>
      <c r="C35" s="494"/>
      <c r="D35" s="494"/>
      <c r="E35" s="167">
        <v>7.0000000000000007E-2</v>
      </c>
    </row>
  </sheetData>
  <mergeCells count="11">
    <mergeCell ref="B35:D35"/>
    <mergeCell ref="I2:I3"/>
    <mergeCell ref="B1:I1"/>
    <mergeCell ref="B32:C32"/>
    <mergeCell ref="H2:H3"/>
    <mergeCell ref="B33:C33"/>
    <mergeCell ref="B2:B3"/>
    <mergeCell ref="C2:D2"/>
    <mergeCell ref="E2:F2"/>
    <mergeCell ref="G2:G3"/>
    <mergeCell ref="B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Executive Summary</vt:lpstr>
      <vt:lpstr>Input Assumptions</vt:lpstr>
      <vt:lpstr>B1. Baseline Operating Costs</vt:lpstr>
      <vt:lpstr>B2. Baseline Travel Delay Costs</vt:lpstr>
      <vt:lpstr>F1 Veh. Operating Cost Savings</vt:lpstr>
      <vt:lpstr>F2 Travel Time Cost Savings</vt:lpstr>
      <vt:lpstr>F3 Emission Cost Savings</vt:lpstr>
      <vt:lpstr>Emission Inputs</vt:lpstr>
      <vt:lpstr>F4 O&amp;M Benefits</vt:lpstr>
      <vt:lpstr>F5 Project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2016-12-13T17:43:30Z</dcterms:modified>
</cp:coreProperties>
</file>