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1075" windowHeight="10290" activeTab="7"/>
  </bookViews>
  <sheets>
    <sheet name="Traffic" sheetId="7" r:id="rId1"/>
    <sheet name="Travel Time Savings" sheetId="17" r:id="rId2"/>
    <sheet name="Safety Benefits" sheetId="16" r:id="rId3"/>
    <sheet name="Vehicle Operating Costs" sheetId="18" r:id="rId4"/>
    <sheet name="Maintenance Costs" sheetId="2" r:id="rId5"/>
    <sheet name="Residual Value" sheetId="19" r:id="rId6"/>
    <sheet name="Capital Costs" sheetId="1" r:id="rId7"/>
    <sheet name="BC Summary" sheetId="8" r:id="rId8"/>
  </sheets>
  <calcPr calcId="145621"/>
</workbook>
</file>

<file path=xl/calcChain.xml><?xml version="1.0" encoding="utf-8"?>
<calcChain xmlns="http://schemas.openxmlformats.org/spreadsheetml/2006/main">
  <c r="G6" i="8" l="1"/>
  <c r="O6" i="8" s="1"/>
  <c r="G7" i="8"/>
  <c r="W7" i="8" s="1"/>
  <c r="G8" i="8"/>
  <c r="W8" i="8" s="1"/>
  <c r="G9" i="8"/>
  <c r="W9" i="8" s="1"/>
  <c r="G10" i="8"/>
  <c r="W10" i="8" s="1"/>
  <c r="G11" i="8"/>
  <c r="W11" i="8" s="1"/>
  <c r="G12" i="8"/>
  <c r="W12" i="8" s="1"/>
  <c r="G13" i="8"/>
  <c r="W13" i="8" s="1"/>
  <c r="G14" i="8"/>
  <c r="O14" i="8" s="1"/>
  <c r="G15" i="8"/>
  <c r="W15" i="8" s="1"/>
  <c r="G16" i="8"/>
  <c r="W16" i="8" s="1"/>
  <c r="G17" i="8"/>
  <c r="W17" i="8" s="1"/>
  <c r="G18" i="8"/>
  <c r="W18" i="8" s="1"/>
  <c r="G19" i="8"/>
  <c r="W19" i="8" s="1"/>
  <c r="G20" i="8"/>
  <c r="W20" i="8" s="1"/>
  <c r="G21" i="8"/>
  <c r="W21" i="8" s="1"/>
  <c r="G22" i="8"/>
  <c r="O22" i="8" s="1"/>
  <c r="G23" i="8"/>
  <c r="W23" i="8" s="1"/>
  <c r="G24" i="8"/>
  <c r="W24" i="8" s="1"/>
  <c r="G25" i="8"/>
  <c r="W25" i="8" s="1"/>
  <c r="G26" i="8"/>
  <c r="W26" i="8" s="1"/>
  <c r="G27" i="8"/>
  <c r="W27" i="8" s="1"/>
  <c r="G28" i="8"/>
  <c r="W28" i="8" s="1"/>
  <c r="G29" i="8"/>
  <c r="W29" i="8" s="1"/>
  <c r="G5" i="8"/>
  <c r="W5" i="8" s="1"/>
  <c r="H29" i="8"/>
  <c r="H8" i="19"/>
  <c r="H9" i="19" s="1"/>
  <c r="C28" i="19" s="1"/>
  <c r="O7" i="8" l="1"/>
  <c r="O15" i="8"/>
  <c r="O23" i="8"/>
  <c r="W6" i="8"/>
  <c r="W14" i="8"/>
  <c r="W22" i="8"/>
  <c r="O8" i="8"/>
  <c r="O16" i="8"/>
  <c r="O24" i="8"/>
  <c r="O9" i="8"/>
  <c r="O17" i="8"/>
  <c r="O25" i="8"/>
  <c r="O10" i="8"/>
  <c r="O18" i="8"/>
  <c r="O26" i="8"/>
  <c r="O11" i="8"/>
  <c r="O19" i="8"/>
  <c r="O27" i="8"/>
  <c r="O12" i="8"/>
  <c r="O20" i="8"/>
  <c r="O28" i="8"/>
  <c r="O5" i="8"/>
  <c r="O13" i="8"/>
  <c r="O21" i="8"/>
  <c r="O29" i="8"/>
  <c r="C29" i="19"/>
  <c r="C23" i="2"/>
  <c r="F9" i="2"/>
  <c r="F7" i="2"/>
  <c r="C29" i="2" l="1"/>
  <c r="E6" i="8" l="1"/>
  <c r="E7" i="8"/>
  <c r="E8" i="8"/>
  <c r="E9" i="8"/>
  <c r="E5" i="8"/>
  <c r="D28" i="18"/>
  <c r="D9" i="18"/>
  <c r="C28" i="18"/>
  <c r="C9" i="18"/>
  <c r="D210" i="16"/>
  <c r="D191" i="16"/>
  <c r="C210" i="16"/>
  <c r="C191" i="16"/>
  <c r="D180" i="16"/>
  <c r="D161" i="16"/>
  <c r="C180" i="16"/>
  <c r="C161" i="16"/>
  <c r="D150" i="16"/>
  <c r="D131" i="16"/>
  <c r="C150" i="16"/>
  <c r="C131" i="16"/>
  <c r="C102" i="16"/>
  <c r="C103" i="16" s="1"/>
  <c r="C104" i="16" s="1"/>
  <c r="C105" i="16" s="1"/>
  <c r="C106" i="16" s="1"/>
  <c r="C107" i="16" s="1"/>
  <c r="C108" i="16" s="1"/>
  <c r="C109" i="16" s="1"/>
  <c r="C110" i="16" s="1"/>
  <c r="C111" i="16" s="1"/>
  <c r="C112" i="16" s="1"/>
  <c r="C113" i="16" s="1"/>
  <c r="C114" i="16" s="1"/>
  <c r="C115" i="16" s="1"/>
  <c r="C116" i="16" s="1"/>
  <c r="C117" i="16" s="1"/>
  <c r="C118" i="16" s="1"/>
  <c r="C119" i="16" s="1"/>
  <c r="D120" i="16"/>
  <c r="D101" i="16"/>
  <c r="C120" i="16"/>
  <c r="C101" i="16"/>
  <c r="D29" i="16"/>
  <c r="D10" i="16"/>
  <c r="C29" i="16"/>
  <c r="C10" i="16"/>
  <c r="D90" i="16"/>
  <c r="D71" i="16"/>
  <c r="C90" i="16"/>
  <c r="C71" i="16"/>
  <c r="D60" i="16"/>
  <c r="D42" i="16" s="1"/>
  <c r="C60" i="16"/>
  <c r="D41" i="16"/>
  <c r="C41" i="16"/>
  <c r="C9" i="17"/>
  <c r="D28" i="17"/>
  <c r="D9" i="17"/>
  <c r="C28" i="17"/>
  <c r="AB61" i="7"/>
  <c r="AC61" i="7" s="1"/>
  <c r="Z61" i="7"/>
  <c r="Z60" i="7"/>
  <c r="AB60" i="7" s="1"/>
  <c r="AC60" i="7" s="1"/>
  <c r="X62" i="7"/>
  <c r="Z62" i="7" s="1"/>
  <c r="AB62" i="7" s="1"/>
  <c r="AC62" i="7" s="1"/>
  <c r="C11" i="18" l="1"/>
  <c r="C12" i="18" s="1"/>
  <c r="C13" i="18" s="1"/>
  <c r="C14" i="18" s="1"/>
  <c r="C15" i="18" s="1"/>
  <c r="C16" i="18" s="1"/>
  <c r="C17" i="18" s="1"/>
  <c r="C18" i="18" s="1"/>
  <c r="C19" i="18" s="1"/>
  <c r="C20" i="18" s="1"/>
  <c r="C21" i="18" s="1"/>
  <c r="C22" i="18" s="1"/>
  <c r="C23" i="18" s="1"/>
  <c r="C24" i="18" s="1"/>
  <c r="C25" i="18" s="1"/>
  <c r="C26" i="18" s="1"/>
  <c r="C27" i="18" s="1"/>
  <c r="C10" i="18"/>
  <c r="D72" i="16"/>
  <c r="D73" i="16" s="1"/>
  <c r="D74" i="16" s="1"/>
  <c r="D75" i="16" s="1"/>
  <c r="D76" i="16" s="1"/>
  <c r="D77" i="16" s="1"/>
  <c r="D78" i="16" s="1"/>
  <c r="D79" i="16" s="1"/>
  <c r="D80" i="16" s="1"/>
  <c r="D81" i="16" s="1"/>
  <c r="D82" i="16" s="1"/>
  <c r="D83" i="16" s="1"/>
  <c r="D84" i="16" s="1"/>
  <c r="D85" i="16" s="1"/>
  <c r="D86" i="16" s="1"/>
  <c r="D87" i="16" s="1"/>
  <c r="D88" i="16" s="1"/>
  <c r="D89" i="16" s="1"/>
  <c r="D162" i="16"/>
  <c r="D163" i="16" s="1"/>
  <c r="D164" i="16" s="1"/>
  <c r="D165" i="16" s="1"/>
  <c r="D166" i="16" s="1"/>
  <c r="D167" i="16" s="1"/>
  <c r="D168" i="16" s="1"/>
  <c r="D169" i="16" s="1"/>
  <c r="D170" i="16" s="1"/>
  <c r="D171" i="16" s="1"/>
  <c r="D172" i="16" s="1"/>
  <c r="D173" i="16" s="1"/>
  <c r="D174" i="16" s="1"/>
  <c r="D175" i="16" s="1"/>
  <c r="D176" i="16" s="1"/>
  <c r="D177" i="16" s="1"/>
  <c r="D178" i="16" s="1"/>
  <c r="D179" i="16" s="1"/>
  <c r="D193" i="16"/>
  <c r="D194" i="16" s="1"/>
  <c r="D195" i="16" s="1"/>
  <c r="D196" i="16" s="1"/>
  <c r="D197" i="16" s="1"/>
  <c r="D198" i="16" s="1"/>
  <c r="D199" i="16" s="1"/>
  <c r="D200" i="16" s="1"/>
  <c r="D201" i="16" s="1"/>
  <c r="D202" i="16" s="1"/>
  <c r="D203" i="16" s="1"/>
  <c r="D204" i="16" s="1"/>
  <c r="D205" i="16" s="1"/>
  <c r="D206" i="16" s="1"/>
  <c r="D207" i="16" s="1"/>
  <c r="D208" i="16" s="1"/>
  <c r="D209" i="16" s="1"/>
  <c r="D43" i="16"/>
  <c r="C72" i="16"/>
  <c r="C73" i="16" s="1"/>
  <c r="D44" i="16"/>
  <c r="D45" i="16" s="1"/>
  <c r="D46" i="16" s="1"/>
  <c r="D47" i="16" s="1"/>
  <c r="D48" i="16" s="1"/>
  <c r="D49" i="16" s="1"/>
  <c r="D50" i="16" s="1"/>
  <c r="D51" i="16" s="1"/>
  <c r="D52" i="16" s="1"/>
  <c r="D53" i="16" s="1"/>
  <c r="D54" i="16" s="1"/>
  <c r="D55" i="16" s="1"/>
  <c r="D56" i="16" s="1"/>
  <c r="D57" i="16" s="1"/>
  <c r="D58" i="16" s="1"/>
  <c r="D59" i="16" s="1"/>
  <c r="D132" i="16"/>
  <c r="D133" i="16" s="1"/>
  <c r="D134" i="16" s="1"/>
  <c r="D135" i="16" s="1"/>
  <c r="D136" i="16" s="1"/>
  <c r="D137" i="16" s="1"/>
  <c r="D138" i="16" s="1"/>
  <c r="D139" i="16" s="1"/>
  <c r="D140" i="16" s="1"/>
  <c r="D141" i="16" s="1"/>
  <c r="D142" i="16" s="1"/>
  <c r="D143" i="16" s="1"/>
  <c r="D144" i="16" s="1"/>
  <c r="D145" i="16" s="1"/>
  <c r="D146" i="16" s="1"/>
  <c r="D147" i="16" s="1"/>
  <c r="D148" i="16" s="1"/>
  <c r="D149" i="16" s="1"/>
  <c r="D192" i="16"/>
  <c r="C162" i="16"/>
  <c r="C163" i="16" s="1"/>
  <c r="C42" i="16"/>
  <c r="C43" i="16" s="1"/>
  <c r="C132" i="16"/>
  <c r="C133" i="16" s="1"/>
  <c r="D102" i="16"/>
  <c r="D103" i="16" s="1"/>
  <c r="C192" i="16"/>
  <c r="C193" i="16" s="1"/>
  <c r="C194" i="16" s="1"/>
  <c r="D10" i="18"/>
  <c r="D11" i="18" s="1"/>
  <c r="D11" i="16"/>
  <c r="D12" i="16" s="1"/>
  <c r="D13" i="16" s="1"/>
  <c r="D14" i="16" s="1"/>
  <c r="D15" i="16" s="1"/>
  <c r="D16" i="16" s="1"/>
  <c r="D17" i="16" s="1"/>
  <c r="D18" i="16" s="1"/>
  <c r="D19" i="16" s="1"/>
  <c r="D20" i="16" s="1"/>
  <c r="D21" i="16" s="1"/>
  <c r="D22" i="16" s="1"/>
  <c r="D23" i="16" s="1"/>
  <c r="D24" i="16" s="1"/>
  <c r="D25" i="16" s="1"/>
  <c r="D26" i="16" s="1"/>
  <c r="D27" i="16" s="1"/>
  <c r="D28" i="16" s="1"/>
  <c r="C11" i="16"/>
  <c r="C12" i="16" s="1"/>
  <c r="D10" i="17"/>
  <c r="D11" i="17" s="1"/>
  <c r="D12" i="17" s="1"/>
  <c r="D13" i="17" s="1"/>
  <c r="D14" i="17" s="1"/>
  <c r="D15" i="17" s="1"/>
  <c r="D16" i="17" s="1"/>
  <c r="D17" i="17" s="1"/>
  <c r="D18" i="17" s="1"/>
  <c r="D19" i="17" s="1"/>
  <c r="D20" i="17" s="1"/>
  <c r="D21" i="17" s="1"/>
  <c r="D22" i="17" s="1"/>
  <c r="D23" i="17" s="1"/>
  <c r="D24" i="17" s="1"/>
  <c r="D25" i="17" s="1"/>
  <c r="D26" i="17" s="1"/>
  <c r="D27" i="17" s="1"/>
  <c r="C10" i="17"/>
  <c r="C11" i="17" s="1"/>
  <c r="C12" i="17" s="1"/>
  <c r="C13" i="17" s="1"/>
  <c r="C14" i="17" s="1"/>
  <c r="C15" i="17" s="1"/>
  <c r="C16" i="17" s="1"/>
  <c r="C17" i="17" s="1"/>
  <c r="C18" i="17" s="1"/>
  <c r="C19" i="17" s="1"/>
  <c r="C20" i="17" s="1"/>
  <c r="C21" i="17" s="1"/>
  <c r="C22" i="17" s="1"/>
  <c r="C23" i="17" s="1"/>
  <c r="C24" i="17" s="1"/>
  <c r="C25" i="17" s="1"/>
  <c r="C26" i="17" s="1"/>
  <c r="C27" i="17" s="1"/>
  <c r="AC63" i="7"/>
  <c r="Z55" i="7" s="1"/>
  <c r="AA55" i="7" s="1"/>
  <c r="E28" i="18"/>
  <c r="L28" i="18" s="1"/>
  <c r="M28" i="18" s="1"/>
  <c r="E9" i="18"/>
  <c r="L9" i="18" s="1"/>
  <c r="M9" i="18" s="1"/>
  <c r="P8" i="18"/>
  <c r="P7" i="18"/>
  <c r="P6" i="18"/>
  <c r="P5" i="18"/>
  <c r="P4" i="18"/>
  <c r="E210" i="16"/>
  <c r="H210" i="16" s="1"/>
  <c r="E192" i="16"/>
  <c r="H192" i="16" s="1"/>
  <c r="E191" i="16"/>
  <c r="H191" i="16" s="1"/>
  <c r="E180" i="16"/>
  <c r="H180" i="16" s="1"/>
  <c r="E161" i="16"/>
  <c r="H161" i="16" s="1"/>
  <c r="E150" i="16"/>
  <c r="H150" i="16" s="1"/>
  <c r="E132" i="16"/>
  <c r="H132" i="16" s="1"/>
  <c r="E131" i="16"/>
  <c r="H131" i="16" s="1"/>
  <c r="E120" i="16"/>
  <c r="H120" i="16" s="1"/>
  <c r="E101" i="16"/>
  <c r="H101" i="16" s="1"/>
  <c r="E90" i="16"/>
  <c r="H90" i="16" s="1"/>
  <c r="E72" i="16"/>
  <c r="H72" i="16" s="1"/>
  <c r="E71" i="16"/>
  <c r="H71" i="16" s="1"/>
  <c r="E60" i="16"/>
  <c r="H60" i="16" s="1"/>
  <c r="E42" i="16"/>
  <c r="H42" i="16" s="1"/>
  <c r="E41" i="16"/>
  <c r="H41" i="16" s="1"/>
  <c r="E29" i="16"/>
  <c r="H29" i="16" s="1"/>
  <c r="E10" i="16"/>
  <c r="H10" i="16" s="1"/>
  <c r="E162" i="16" l="1"/>
  <c r="H162" i="16" s="1"/>
  <c r="E11" i="16"/>
  <c r="H11" i="16" s="1"/>
  <c r="E102" i="16"/>
  <c r="H102" i="16" s="1"/>
  <c r="E103" i="16"/>
  <c r="H103" i="16" s="1"/>
  <c r="D104" i="16"/>
  <c r="C195" i="16"/>
  <c r="E194" i="16"/>
  <c r="H194" i="16" s="1"/>
  <c r="C134" i="16"/>
  <c r="E133" i="16"/>
  <c r="H133" i="16" s="1"/>
  <c r="C74" i="16"/>
  <c r="E73" i="16"/>
  <c r="H73" i="16" s="1"/>
  <c r="E43" i="16"/>
  <c r="H43" i="16" s="1"/>
  <c r="C44" i="16"/>
  <c r="C164" i="16"/>
  <c r="E163" i="16"/>
  <c r="H163" i="16" s="1"/>
  <c r="E193" i="16"/>
  <c r="H193" i="16" s="1"/>
  <c r="H28" i="18"/>
  <c r="I28" i="18" s="1"/>
  <c r="E11" i="18"/>
  <c r="L11" i="18" s="1"/>
  <c r="M11" i="18" s="1"/>
  <c r="D12" i="18"/>
  <c r="H9" i="18"/>
  <c r="I9" i="18" s="1"/>
  <c r="P9" i="18" s="1"/>
  <c r="E10" i="18"/>
  <c r="L10" i="18" s="1"/>
  <c r="M10" i="18" s="1"/>
  <c r="H11" i="18"/>
  <c r="I11" i="18" s="1"/>
  <c r="P11" i="18" s="1"/>
  <c r="E12" i="8" s="1"/>
  <c r="H10" i="18"/>
  <c r="I10" i="18" s="1"/>
  <c r="P10" i="18" s="1"/>
  <c r="E11" i="8" s="1"/>
  <c r="C13" i="16"/>
  <c r="E12" i="16"/>
  <c r="H12" i="16" s="1"/>
  <c r="P28" i="18"/>
  <c r="E29" i="8" s="1"/>
  <c r="E10" i="8" l="1"/>
  <c r="C75" i="16"/>
  <c r="E74" i="16"/>
  <c r="H74" i="16" s="1"/>
  <c r="C135" i="16"/>
  <c r="E134" i="16"/>
  <c r="H134" i="16" s="1"/>
  <c r="C165" i="16"/>
  <c r="E164" i="16"/>
  <c r="H164" i="16" s="1"/>
  <c r="C196" i="16"/>
  <c r="E195" i="16"/>
  <c r="H195" i="16" s="1"/>
  <c r="C45" i="16"/>
  <c r="E44" i="16"/>
  <c r="H44" i="16" s="1"/>
  <c r="D105" i="16"/>
  <c r="E104" i="16"/>
  <c r="H104" i="16" s="1"/>
  <c r="D13" i="18"/>
  <c r="E12" i="18"/>
  <c r="C14" i="16"/>
  <c r="E13" i="16"/>
  <c r="H13" i="16" s="1"/>
  <c r="Y54" i="7"/>
  <c r="Z54" i="7" s="1"/>
  <c r="X54" i="7"/>
  <c r="Y53" i="7"/>
  <c r="Z53" i="7" s="1"/>
  <c r="AA53" i="7" s="1"/>
  <c r="X53" i="7"/>
  <c r="Y52" i="7"/>
  <c r="Z52" i="7" s="1"/>
  <c r="X52" i="7"/>
  <c r="Y51" i="7"/>
  <c r="Z51" i="7" s="1"/>
  <c r="AA51" i="7" s="1"/>
  <c r="X51" i="7"/>
  <c r="Y50" i="7"/>
  <c r="Z50" i="7" s="1"/>
  <c r="AA50" i="7" s="1"/>
  <c r="X50" i="7"/>
  <c r="Y49" i="7"/>
  <c r="Z49" i="7" s="1"/>
  <c r="AA49" i="7" s="1"/>
  <c r="X49" i="7"/>
  <c r="Y48" i="7"/>
  <c r="Z48" i="7" s="1"/>
  <c r="AA48" i="7" s="1"/>
  <c r="X48" i="7"/>
  <c r="Y47" i="7"/>
  <c r="Z47" i="7" s="1"/>
  <c r="AA47" i="7" s="1"/>
  <c r="X47" i="7"/>
  <c r="Y46" i="7"/>
  <c r="Z46" i="7" s="1"/>
  <c r="AA46" i="7" s="1"/>
  <c r="X46" i="7"/>
  <c r="Y45" i="7"/>
  <c r="Z45" i="7" s="1"/>
  <c r="AA45" i="7" s="1"/>
  <c r="X45" i="7"/>
  <c r="Y44" i="7"/>
  <c r="Z44" i="7" s="1"/>
  <c r="AA44" i="7" s="1"/>
  <c r="X44" i="7"/>
  <c r="Y43" i="7"/>
  <c r="Z43" i="7" s="1"/>
  <c r="AA43" i="7" s="1"/>
  <c r="X43" i="7"/>
  <c r="Y42" i="7"/>
  <c r="Z42" i="7" s="1"/>
  <c r="AA42" i="7" s="1"/>
  <c r="X42" i="7"/>
  <c r="Y41" i="7"/>
  <c r="Z41" i="7" s="1"/>
  <c r="AA41" i="7" s="1"/>
  <c r="X41" i="7"/>
  <c r="Y40" i="7"/>
  <c r="Z40" i="7" s="1"/>
  <c r="AA40" i="7" s="1"/>
  <c r="X40" i="7"/>
  <c r="Y39" i="7"/>
  <c r="Z39" i="7" s="1"/>
  <c r="AA39" i="7" s="1"/>
  <c r="X39" i="7"/>
  <c r="Y38" i="7"/>
  <c r="Z38" i="7" s="1"/>
  <c r="AA38" i="7" s="1"/>
  <c r="X38" i="7"/>
  <c r="Y37" i="7"/>
  <c r="Z37" i="7" s="1"/>
  <c r="AA37" i="7" s="1"/>
  <c r="X37" i="7"/>
  <c r="Y36" i="7"/>
  <c r="Z36" i="7" s="1"/>
  <c r="AA36" i="7" s="1"/>
  <c r="X36" i="7"/>
  <c r="Y35" i="7"/>
  <c r="Z35" i="7" s="1"/>
  <c r="AA35" i="7" s="1"/>
  <c r="X35" i="7"/>
  <c r="Y34" i="7"/>
  <c r="Z34" i="7" s="1"/>
  <c r="AA34" i="7" s="1"/>
  <c r="X34" i="7"/>
  <c r="Y33" i="7"/>
  <c r="Z33" i="7" s="1"/>
  <c r="AA33" i="7" s="1"/>
  <c r="X33" i="7"/>
  <c r="Y32" i="7"/>
  <c r="Z32" i="7" s="1"/>
  <c r="AA32" i="7" s="1"/>
  <c r="X32" i="7"/>
  <c r="Y31" i="7"/>
  <c r="Z31" i="7" s="1"/>
  <c r="AA31" i="7" s="1"/>
  <c r="X31" i="7"/>
  <c r="Y30" i="7"/>
  <c r="Z30" i="7" s="1"/>
  <c r="AA30" i="7" s="1"/>
  <c r="X30" i="7"/>
  <c r="Y29" i="7"/>
  <c r="Z29" i="7" s="1"/>
  <c r="AA29" i="7" s="1"/>
  <c r="X29" i="7"/>
  <c r="Y28" i="7"/>
  <c r="Z28" i="7" s="1"/>
  <c r="AA28" i="7" s="1"/>
  <c r="X28" i="7"/>
  <c r="Y27" i="7"/>
  <c r="Z27" i="7" s="1"/>
  <c r="AA27" i="7" s="1"/>
  <c r="X27" i="7"/>
  <c r="Y26" i="7"/>
  <c r="Z26" i="7" s="1"/>
  <c r="AA26" i="7" s="1"/>
  <c r="X26" i="7"/>
  <c r="Y25" i="7"/>
  <c r="Z25" i="7" s="1"/>
  <c r="AA25" i="7" s="1"/>
  <c r="X25" i="7"/>
  <c r="Y24" i="7"/>
  <c r="Z24" i="7" s="1"/>
  <c r="AA24" i="7" s="1"/>
  <c r="X24" i="7"/>
  <c r="Y23" i="7"/>
  <c r="Z23" i="7" s="1"/>
  <c r="AA23" i="7" s="1"/>
  <c r="X23" i="7"/>
  <c r="Y22" i="7"/>
  <c r="Z22" i="7" s="1"/>
  <c r="AA22" i="7" s="1"/>
  <c r="X22" i="7"/>
  <c r="Y21" i="7"/>
  <c r="Z21" i="7" s="1"/>
  <c r="AA21" i="7" s="1"/>
  <c r="X21" i="7"/>
  <c r="Y20" i="7"/>
  <c r="Z20" i="7" s="1"/>
  <c r="Y19" i="7"/>
  <c r="Z19" i="7" s="1"/>
  <c r="Y18" i="7"/>
  <c r="Z18" i="7" s="1"/>
  <c r="AA18" i="7" s="1"/>
  <c r="X18" i="7"/>
  <c r="Y17" i="7"/>
  <c r="Z17" i="7" s="1"/>
  <c r="AA17" i="7" s="1"/>
  <c r="X17" i="7"/>
  <c r="Y16" i="7"/>
  <c r="Z16" i="7" s="1"/>
  <c r="AA16" i="7" s="1"/>
  <c r="X16" i="7"/>
  <c r="Y15" i="7"/>
  <c r="Z15" i="7" s="1"/>
  <c r="AA15" i="7" s="1"/>
  <c r="X15" i="7"/>
  <c r="Y14" i="7"/>
  <c r="Z14" i="7" s="1"/>
  <c r="AA14" i="7" s="1"/>
  <c r="X14" i="7"/>
  <c r="Y13" i="7"/>
  <c r="Z13" i="7" s="1"/>
  <c r="AA13" i="7" s="1"/>
  <c r="X13" i="7"/>
  <c r="Y12" i="7"/>
  <c r="Z12" i="7" s="1"/>
  <c r="AA12" i="7" s="1"/>
  <c r="X12" i="7"/>
  <c r="Y11" i="7"/>
  <c r="Z11" i="7" s="1"/>
  <c r="AA11" i="7" s="1"/>
  <c r="X11" i="7"/>
  <c r="Y10" i="7"/>
  <c r="Z10" i="7" s="1"/>
  <c r="AA10" i="7" s="1"/>
  <c r="X10" i="7"/>
  <c r="Y9" i="7"/>
  <c r="Z9" i="7" s="1"/>
  <c r="AA9" i="7" s="1"/>
  <c r="X9" i="7"/>
  <c r="Y8" i="7"/>
  <c r="Z8" i="7" s="1"/>
  <c r="AA8" i="7" s="1"/>
  <c r="X8" i="7"/>
  <c r="Y7" i="7"/>
  <c r="Z7" i="7" s="1"/>
  <c r="AA7" i="7" s="1"/>
  <c r="X7" i="7"/>
  <c r="Y6" i="7"/>
  <c r="Z6" i="7" s="1"/>
  <c r="AA6" i="7" s="1"/>
  <c r="X6" i="7"/>
  <c r="Y5" i="7"/>
  <c r="Z5" i="7" s="1"/>
  <c r="AA5" i="7" s="1"/>
  <c r="X5" i="7"/>
  <c r="Y4" i="7"/>
  <c r="Z4" i="7" s="1"/>
  <c r="AA4" i="7" s="1"/>
  <c r="X4" i="7"/>
  <c r="Y3" i="7"/>
  <c r="Z3" i="7" s="1"/>
  <c r="AA3" i="7" s="1"/>
  <c r="X3" i="7"/>
  <c r="X55" i="7" s="1"/>
  <c r="Q55" i="7"/>
  <c r="P55" i="7"/>
  <c r="C197" i="16" l="1"/>
  <c r="E196" i="16"/>
  <c r="H196" i="16" s="1"/>
  <c r="C166" i="16"/>
  <c r="E165" i="16"/>
  <c r="H165" i="16" s="1"/>
  <c r="D106" i="16"/>
  <c r="E105" i="16"/>
  <c r="H105" i="16" s="1"/>
  <c r="C136" i="16"/>
  <c r="E135" i="16"/>
  <c r="H135" i="16" s="1"/>
  <c r="C46" i="16"/>
  <c r="E45" i="16"/>
  <c r="H45" i="16" s="1"/>
  <c r="C76" i="16"/>
  <c r="E75" i="16"/>
  <c r="H75" i="16" s="1"/>
  <c r="L12" i="18"/>
  <c r="M12" i="18" s="1"/>
  <c r="H12" i="18"/>
  <c r="I12" i="18" s="1"/>
  <c r="P12" i="18" s="1"/>
  <c r="D14" i="18"/>
  <c r="E13" i="18"/>
  <c r="C15" i="16"/>
  <c r="E14" i="16"/>
  <c r="H14" i="16" s="1"/>
  <c r="AC24" i="7"/>
  <c r="AC28" i="7"/>
  <c r="AC32" i="7"/>
  <c r="AC36" i="7"/>
  <c r="AC40" i="7"/>
  <c r="AC44" i="7"/>
  <c r="AE44" i="7" s="1"/>
  <c r="AC48" i="7"/>
  <c r="AC21" i="7"/>
  <c r="AE21" i="7" s="1"/>
  <c r="AC25" i="7"/>
  <c r="AC29" i="7"/>
  <c r="AC33" i="7"/>
  <c r="AC37" i="7"/>
  <c r="AE37" i="7" s="1"/>
  <c r="AC41" i="7"/>
  <c r="AE41" i="7" s="1"/>
  <c r="AC45" i="7"/>
  <c r="AE45" i="7" s="1"/>
  <c r="AC22" i="7"/>
  <c r="AC49" i="7"/>
  <c r="AE49" i="7" s="1"/>
  <c r="AC23" i="7"/>
  <c r="AE23" i="7" s="1"/>
  <c r="AC27" i="7"/>
  <c r="AE27" i="7" s="1"/>
  <c r="AC31" i="7"/>
  <c r="AE31" i="7" s="1"/>
  <c r="AC5" i="7"/>
  <c r="AE5" i="7" s="1"/>
  <c r="AC53" i="7"/>
  <c r="AE53" i="7" s="1"/>
  <c r="AC13" i="7"/>
  <c r="AC26" i="7"/>
  <c r="AE26" i="7" s="1"/>
  <c r="AC30" i="7"/>
  <c r="AE30" i="7" s="1"/>
  <c r="AC34" i="7"/>
  <c r="AC38" i="7"/>
  <c r="AC42" i="7"/>
  <c r="AE42" i="7" s="1"/>
  <c r="AC46" i="7"/>
  <c r="AC50" i="7"/>
  <c r="AE50" i="7" s="1"/>
  <c r="AC35" i="7"/>
  <c r="AE35" i="7" s="1"/>
  <c r="AC39" i="7"/>
  <c r="AE39" i="7" s="1"/>
  <c r="AC43" i="7"/>
  <c r="AE43" i="7" s="1"/>
  <c r="AC47" i="7"/>
  <c r="AE47" i="7" s="1"/>
  <c r="AC51" i="7"/>
  <c r="AE51" i="7" s="1"/>
  <c r="AC9" i="7"/>
  <c r="AE9" i="7" s="1"/>
  <c r="AA52" i="7"/>
  <c r="AC52" i="7" s="1"/>
  <c r="AD23" i="7"/>
  <c r="AF23" i="7" s="1"/>
  <c r="AD39" i="7"/>
  <c r="AF39" i="7" s="1"/>
  <c r="AD21" i="7"/>
  <c r="AF21" i="7" s="1"/>
  <c r="AD25" i="7"/>
  <c r="AF25" i="7" s="1"/>
  <c r="AD29" i="7"/>
  <c r="AF29" i="7" s="1"/>
  <c r="AD33" i="7"/>
  <c r="AF33" i="7" s="1"/>
  <c r="AD37" i="7"/>
  <c r="AF37" i="7" s="1"/>
  <c r="AD41" i="7"/>
  <c r="AF41" i="7" s="1"/>
  <c r="AD45" i="7"/>
  <c r="AF45" i="7" s="1"/>
  <c r="AD49" i="7"/>
  <c r="AF49" i="7" s="1"/>
  <c r="AD53" i="7"/>
  <c r="AF53" i="7" s="1"/>
  <c r="AD26" i="7"/>
  <c r="AF26" i="7" s="1"/>
  <c r="AD42" i="7"/>
  <c r="AF42" i="7" s="1"/>
  <c r="AD27" i="7"/>
  <c r="AF27" i="7" s="1"/>
  <c r="AD43" i="7"/>
  <c r="AF43" i="7" s="1"/>
  <c r="AD30" i="7"/>
  <c r="AF30" i="7" s="1"/>
  <c r="AD46" i="7"/>
  <c r="AF46" i="7" s="1"/>
  <c r="AC17" i="7"/>
  <c r="AE17" i="7" s="1"/>
  <c r="AD31" i="7"/>
  <c r="AF31" i="7" s="1"/>
  <c r="AD47" i="7"/>
  <c r="AF47" i="7" s="1"/>
  <c r="AD34" i="7"/>
  <c r="AF34" i="7" s="1"/>
  <c r="AD50" i="7"/>
  <c r="AF50" i="7" s="1"/>
  <c r="AC55" i="7"/>
  <c r="AE55" i="7" s="1"/>
  <c r="AD35" i="7"/>
  <c r="AF35" i="7" s="1"/>
  <c r="AD51" i="7"/>
  <c r="AF51" i="7" s="1"/>
  <c r="AD24" i="7"/>
  <c r="AF24" i="7" s="1"/>
  <c r="AD28" i="7"/>
  <c r="AF28" i="7" s="1"/>
  <c r="AD32" i="7"/>
  <c r="AF32" i="7" s="1"/>
  <c r="AD36" i="7"/>
  <c r="AF36" i="7" s="1"/>
  <c r="AD40" i="7"/>
  <c r="AF40" i="7" s="1"/>
  <c r="AD44" i="7"/>
  <c r="AF44" i="7" s="1"/>
  <c r="AD48" i="7"/>
  <c r="AF48" i="7" s="1"/>
  <c r="AD22" i="7"/>
  <c r="AF22" i="7" s="1"/>
  <c r="AD38" i="7"/>
  <c r="AF38" i="7" s="1"/>
  <c r="AD55" i="7"/>
  <c r="AF55" i="7" s="1"/>
  <c r="AC4" i="7"/>
  <c r="AD4" i="7"/>
  <c r="AC7" i="7"/>
  <c r="AE7" i="7" s="1"/>
  <c r="AD7" i="7"/>
  <c r="AF7" i="7" s="1"/>
  <c r="AC12" i="7"/>
  <c r="AD12" i="7"/>
  <c r="AC15" i="7"/>
  <c r="AE15" i="7" s="1"/>
  <c r="AD15" i="7"/>
  <c r="AF15" i="7" s="1"/>
  <c r="AC6" i="7"/>
  <c r="AD6" i="7"/>
  <c r="AC14" i="7"/>
  <c r="AD14" i="7"/>
  <c r="AE22" i="7"/>
  <c r="AE24" i="7"/>
  <c r="AE28" i="7"/>
  <c r="AE32" i="7"/>
  <c r="AE34" i="7"/>
  <c r="AE36" i="7"/>
  <c r="AE38" i="7"/>
  <c r="AE40" i="7"/>
  <c r="AE46" i="7"/>
  <c r="AE48" i="7"/>
  <c r="AE52" i="7"/>
  <c r="AD3" i="7"/>
  <c r="AF3" i="7" s="1"/>
  <c r="AC3" i="7"/>
  <c r="AE3" i="7" s="1"/>
  <c r="AC8" i="7"/>
  <c r="AD8" i="7"/>
  <c r="AC11" i="7"/>
  <c r="AE11" i="7" s="1"/>
  <c r="AD11" i="7"/>
  <c r="AF11" i="7" s="1"/>
  <c r="AC16" i="7"/>
  <c r="AD16" i="7"/>
  <c r="AC10" i="7"/>
  <c r="AD10" i="7"/>
  <c r="AC18" i="7"/>
  <c r="AD18" i="7"/>
  <c r="AD5" i="7"/>
  <c r="AF5" i="7" s="1"/>
  <c r="AD13" i="7"/>
  <c r="AF13" i="7" s="1"/>
  <c r="AD9" i="7"/>
  <c r="AF9" i="7" s="1"/>
  <c r="AD17" i="7"/>
  <c r="AF17" i="7" s="1"/>
  <c r="AA54" i="7"/>
  <c r="AE13" i="7"/>
  <c r="AE25" i="7"/>
  <c r="AE29" i="7"/>
  <c r="AE33" i="7"/>
  <c r="R55" i="7"/>
  <c r="S55" i="7"/>
  <c r="E13" i="8" l="1"/>
  <c r="C137" i="16"/>
  <c r="E136" i="16"/>
  <c r="H136" i="16" s="1"/>
  <c r="D107" i="16"/>
  <c r="E106" i="16"/>
  <c r="H106" i="16" s="1"/>
  <c r="C77" i="16"/>
  <c r="E76" i="16"/>
  <c r="H76" i="16" s="1"/>
  <c r="C167" i="16"/>
  <c r="E166" i="16"/>
  <c r="H166" i="16" s="1"/>
  <c r="C47" i="16"/>
  <c r="E46" i="16"/>
  <c r="H46" i="16" s="1"/>
  <c r="C198" i="16"/>
  <c r="E197" i="16"/>
  <c r="H197" i="16" s="1"/>
  <c r="L13" i="18"/>
  <c r="M13" i="18" s="1"/>
  <c r="H13" i="18"/>
  <c r="I13" i="18" s="1"/>
  <c r="D15" i="18"/>
  <c r="E14" i="18"/>
  <c r="C16" i="16"/>
  <c r="E15" i="16"/>
  <c r="H15" i="16" s="1"/>
  <c r="AD52" i="7"/>
  <c r="AF52" i="7" s="1"/>
  <c r="AC54" i="7"/>
  <c r="AD54" i="7"/>
  <c r="AE18" i="7"/>
  <c r="AE16" i="7"/>
  <c r="AE10" i="7"/>
  <c r="AE6" i="7"/>
  <c r="AE12" i="7"/>
  <c r="AE4" i="7"/>
  <c r="AF18" i="7"/>
  <c r="AF16" i="7"/>
  <c r="AF8" i="7"/>
  <c r="AF14" i="7"/>
  <c r="AE8" i="7"/>
  <c r="AE14" i="7"/>
  <c r="AF10" i="7"/>
  <c r="AF6" i="7"/>
  <c r="AF12" i="7"/>
  <c r="AF4" i="7"/>
  <c r="P13" i="18" l="1"/>
  <c r="C78" i="16"/>
  <c r="E77" i="16"/>
  <c r="H77" i="16" s="1"/>
  <c r="C168" i="16"/>
  <c r="E167" i="16"/>
  <c r="H167" i="16" s="1"/>
  <c r="C199" i="16"/>
  <c r="E198" i="16"/>
  <c r="H198" i="16" s="1"/>
  <c r="D108" i="16"/>
  <c r="E107" i="16"/>
  <c r="H107" i="16" s="1"/>
  <c r="C48" i="16"/>
  <c r="E47" i="16"/>
  <c r="H47" i="16" s="1"/>
  <c r="C138" i="16"/>
  <c r="E137" i="16"/>
  <c r="H137" i="16" s="1"/>
  <c r="D16" i="18"/>
  <c r="E15" i="18"/>
  <c r="L14" i="18"/>
  <c r="M14" i="18" s="1"/>
  <c r="H14" i="18"/>
  <c r="I14" i="18" s="1"/>
  <c r="P14" i="18" s="1"/>
  <c r="E15" i="8" s="1"/>
  <c r="C17" i="16"/>
  <c r="E16" i="16"/>
  <c r="H16" i="16" s="1"/>
  <c r="AE54" i="7"/>
  <c r="AF54" i="7"/>
  <c r="E14" i="8" l="1"/>
  <c r="D109" i="16"/>
  <c r="E108" i="16"/>
  <c r="H108" i="16" s="1"/>
  <c r="C139" i="16"/>
  <c r="E138" i="16"/>
  <c r="H138" i="16" s="1"/>
  <c r="C169" i="16"/>
  <c r="E168" i="16"/>
  <c r="H168" i="16" s="1"/>
  <c r="C200" i="16"/>
  <c r="E199" i="16"/>
  <c r="H199" i="16" s="1"/>
  <c r="C49" i="16"/>
  <c r="E48" i="16"/>
  <c r="H48" i="16" s="1"/>
  <c r="C79" i="16"/>
  <c r="E78" i="16"/>
  <c r="H78" i="16" s="1"/>
  <c r="L15" i="18"/>
  <c r="M15" i="18" s="1"/>
  <c r="H15" i="18"/>
  <c r="I15" i="18" s="1"/>
  <c r="P15" i="18" s="1"/>
  <c r="E16" i="8" s="1"/>
  <c r="D17" i="18"/>
  <c r="E16" i="18"/>
  <c r="C18" i="16"/>
  <c r="E17" i="16"/>
  <c r="H17" i="16" s="1"/>
  <c r="O54" i="7"/>
  <c r="O53" i="7"/>
  <c r="O52" i="7"/>
  <c r="O51" i="7"/>
  <c r="O50" i="7"/>
  <c r="O49" i="7"/>
  <c r="O48" i="7"/>
  <c r="O47" i="7"/>
  <c r="O46" i="7"/>
  <c r="O45" i="7"/>
  <c r="O44" i="7"/>
  <c r="O43" i="7"/>
  <c r="O42" i="7"/>
  <c r="O41" i="7"/>
  <c r="O40" i="7"/>
  <c r="O39" i="7"/>
  <c r="O38" i="7"/>
  <c r="O37" i="7"/>
  <c r="O36" i="7"/>
  <c r="O35" i="7"/>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4" i="7"/>
  <c r="O3"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G6" i="7"/>
  <c r="G5" i="7"/>
  <c r="G4" i="7"/>
  <c r="G3" i="7"/>
  <c r="C201" i="16" l="1"/>
  <c r="E200" i="16"/>
  <c r="H200" i="16" s="1"/>
  <c r="C170" i="16"/>
  <c r="E169" i="16"/>
  <c r="H169" i="16" s="1"/>
  <c r="C80" i="16"/>
  <c r="E79" i="16"/>
  <c r="H79" i="16" s="1"/>
  <c r="C140" i="16"/>
  <c r="E139" i="16"/>
  <c r="H139" i="16" s="1"/>
  <c r="C50" i="16"/>
  <c r="E49" i="16"/>
  <c r="H49" i="16" s="1"/>
  <c r="D110" i="16"/>
  <c r="E109" i="16"/>
  <c r="H109" i="16" s="1"/>
  <c r="L16" i="18"/>
  <c r="M16" i="18" s="1"/>
  <c r="H16" i="18"/>
  <c r="I16" i="18" s="1"/>
  <c r="P16" i="18" s="1"/>
  <c r="E17" i="8" s="1"/>
  <c r="D18" i="18"/>
  <c r="E17" i="18"/>
  <c r="C19" i="16"/>
  <c r="E18" i="16"/>
  <c r="H18" i="16" s="1"/>
  <c r="AG5" i="7"/>
  <c r="AH5" i="7"/>
  <c r="AG9" i="7"/>
  <c r="AH9" i="7"/>
  <c r="AG17" i="7"/>
  <c r="AH17" i="7"/>
  <c r="AH21" i="7"/>
  <c r="AG21" i="7"/>
  <c r="AG29" i="7"/>
  <c r="AH29" i="7"/>
  <c r="AH33" i="7"/>
  <c r="AG33" i="7"/>
  <c r="AG37" i="7"/>
  <c r="AH37" i="7"/>
  <c r="AG45" i="7"/>
  <c r="AH45" i="7"/>
  <c r="Q4" i="7"/>
  <c r="P4" i="7"/>
  <c r="AH3" i="7"/>
  <c r="AG3" i="7"/>
  <c r="AG7" i="7"/>
  <c r="AH7" i="7"/>
  <c r="AG11" i="7"/>
  <c r="AH11" i="7"/>
  <c r="AH15" i="7"/>
  <c r="AG15" i="7"/>
  <c r="AG23" i="7"/>
  <c r="AH23" i="7"/>
  <c r="AG27" i="7"/>
  <c r="AH27" i="7"/>
  <c r="AH31" i="7"/>
  <c r="AG31" i="7"/>
  <c r="AG35" i="7"/>
  <c r="AH35" i="7"/>
  <c r="AG39" i="7"/>
  <c r="AH39" i="7"/>
  <c r="AH43" i="7"/>
  <c r="AG43" i="7"/>
  <c r="AG47" i="7"/>
  <c r="AH47" i="7"/>
  <c r="AG51" i="7"/>
  <c r="AH51" i="7"/>
  <c r="AH55" i="7"/>
  <c r="U55" i="7"/>
  <c r="T55" i="7"/>
  <c r="AG55" i="7"/>
  <c r="Q6" i="7"/>
  <c r="P6" i="7"/>
  <c r="Q10" i="7"/>
  <c r="P10" i="7"/>
  <c r="Q14" i="7"/>
  <c r="P14" i="7"/>
  <c r="Q18" i="7"/>
  <c r="P18" i="7"/>
  <c r="P22" i="7"/>
  <c r="Q22" i="7"/>
  <c r="P26" i="7"/>
  <c r="Q26" i="7"/>
  <c r="P30" i="7"/>
  <c r="Q30" i="7"/>
  <c r="P34" i="7"/>
  <c r="Q34" i="7"/>
  <c r="P38" i="7"/>
  <c r="Q38" i="7"/>
  <c r="P42" i="7"/>
  <c r="Q42" i="7"/>
  <c r="P46" i="7"/>
  <c r="Q46" i="7"/>
  <c r="P50" i="7"/>
  <c r="Q50" i="7"/>
  <c r="P54" i="7"/>
  <c r="Q54" i="7"/>
  <c r="AH4" i="7"/>
  <c r="AG4" i="7"/>
  <c r="AH8" i="7"/>
  <c r="AG8" i="7"/>
  <c r="AG12" i="7"/>
  <c r="AH12" i="7"/>
  <c r="AG16" i="7"/>
  <c r="AH16" i="7"/>
  <c r="AG24" i="7"/>
  <c r="AH24" i="7"/>
  <c r="AH28" i="7"/>
  <c r="AG28" i="7"/>
  <c r="AG32" i="7"/>
  <c r="AH32" i="7"/>
  <c r="AH36" i="7"/>
  <c r="AG36" i="7"/>
  <c r="AG40" i="7"/>
  <c r="AH40" i="7"/>
  <c r="AH44" i="7"/>
  <c r="AG44" i="7"/>
  <c r="AG48" i="7"/>
  <c r="AH48" i="7"/>
  <c r="AH52" i="7"/>
  <c r="AG52" i="7"/>
  <c r="Q3" i="7"/>
  <c r="P3" i="7"/>
  <c r="Q7" i="7"/>
  <c r="P7" i="7"/>
  <c r="Q11" i="7"/>
  <c r="P11" i="7"/>
  <c r="Q15" i="7"/>
  <c r="P15" i="7"/>
  <c r="P19" i="7"/>
  <c r="X19" i="7"/>
  <c r="Q19" i="7"/>
  <c r="P23" i="7"/>
  <c r="Q23" i="7"/>
  <c r="P27" i="7"/>
  <c r="Q27" i="7"/>
  <c r="P31" i="7"/>
  <c r="Q31" i="7"/>
  <c r="P35" i="7"/>
  <c r="Q35" i="7"/>
  <c r="P39" i="7"/>
  <c r="Q39" i="7"/>
  <c r="P43" i="7"/>
  <c r="Q43" i="7"/>
  <c r="P47" i="7"/>
  <c r="Q47" i="7"/>
  <c r="P51" i="7"/>
  <c r="Q51" i="7"/>
  <c r="AG13" i="7"/>
  <c r="AH13" i="7"/>
  <c r="AH25" i="7"/>
  <c r="AG25" i="7"/>
  <c r="AH41" i="7"/>
  <c r="AG41" i="7"/>
  <c r="AG49" i="7"/>
  <c r="AH49" i="7"/>
  <c r="AG53" i="7"/>
  <c r="AH53" i="7"/>
  <c r="Q8" i="7"/>
  <c r="P8" i="7"/>
  <c r="Q12" i="7"/>
  <c r="P12" i="7"/>
  <c r="Q16" i="7"/>
  <c r="P16" i="7"/>
  <c r="P20" i="7"/>
  <c r="X20" i="7"/>
  <c r="Q20" i="7"/>
  <c r="Q24" i="7"/>
  <c r="P24" i="7"/>
  <c r="P28" i="7"/>
  <c r="Q28" i="7"/>
  <c r="Q32" i="7"/>
  <c r="P32" i="7"/>
  <c r="P36" i="7"/>
  <c r="Q36" i="7"/>
  <c r="Q40" i="7"/>
  <c r="P40" i="7"/>
  <c r="P44" i="7"/>
  <c r="Q44" i="7"/>
  <c r="Q48" i="7"/>
  <c r="P48" i="7"/>
  <c r="P52" i="7"/>
  <c r="Q52" i="7"/>
  <c r="AH6" i="7"/>
  <c r="AG6" i="7"/>
  <c r="AG10" i="7"/>
  <c r="AH10" i="7"/>
  <c r="AH14" i="7"/>
  <c r="AG14" i="7"/>
  <c r="AG18" i="7"/>
  <c r="AH18" i="7"/>
  <c r="AH22" i="7"/>
  <c r="AG22" i="7"/>
  <c r="AH26" i="7"/>
  <c r="AG26" i="7"/>
  <c r="AG30" i="7"/>
  <c r="AH30" i="7"/>
  <c r="AG34" i="7"/>
  <c r="AH34" i="7"/>
  <c r="AH38" i="7"/>
  <c r="AG38" i="7"/>
  <c r="AH42" i="7"/>
  <c r="AG42" i="7"/>
  <c r="AG46" i="7"/>
  <c r="AH46" i="7"/>
  <c r="AG50" i="7"/>
  <c r="AH50" i="7"/>
  <c r="AH54" i="7"/>
  <c r="AG54" i="7"/>
  <c r="Q5" i="7"/>
  <c r="P5" i="7"/>
  <c r="Q9" i="7"/>
  <c r="P9" i="7"/>
  <c r="Q13" i="7"/>
  <c r="P13" i="7"/>
  <c r="Q17" i="7"/>
  <c r="P17" i="7"/>
  <c r="Q21" i="7"/>
  <c r="P21" i="7"/>
  <c r="P25" i="7"/>
  <c r="Q25" i="7"/>
  <c r="Q29" i="7"/>
  <c r="P29" i="7"/>
  <c r="P33" i="7"/>
  <c r="Q33" i="7"/>
  <c r="Q37" i="7"/>
  <c r="P37" i="7"/>
  <c r="P41" i="7"/>
  <c r="Q41" i="7"/>
  <c r="Q45" i="7"/>
  <c r="P45" i="7"/>
  <c r="P49" i="7"/>
  <c r="Q49" i="7"/>
  <c r="P53" i="7"/>
  <c r="Q53" i="7"/>
  <c r="I192" i="16"/>
  <c r="J192" i="16"/>
  <c r="K192" i="16"/>
  <c r="L192" i="16"/>
  <c r="M192" i="16"/>
  <c r="I193" i="16"/>
  <c r="J193" i="16"/>
  <c r="K193" i="16"/>
  <c r="L193" i="16"/>
  <c r="M193" i="16"/>
  <c r="I194" i="16"/>
  <c r="J194" i="16"/>
  <c r="K194" i="16"/>
  <c r="L194" i="16"/>
  <c r="M194" i="16"/>
  <c r="I195" i="16"/>
  <c r="J195" i="16"/>
  <c r="K195" i="16"/>
  <c r="L195" i="16"/>
  <c r="M195" i="16"/>
  <c r="I196" i="16"/>
  <c r="J196" i="16"/>
  <c r="K196" i="16"/>
  <c r="L196" i="16"/>
  <c r="M196" i="16"/>
  <c r="I197" i="16"/>
  <c r="J197" i="16"/>
  <c r="K197" i="16"/>
  <c r="L197" i="16"/>
  <c r="M197" i="16"/>
  <c r="I198" i="16"/>
  <c r="J198" i="16"/>
  <c r="K198" i="16"/>
  <c r="L198" i="16"/>
  <c r="M198" i="16"/>
  <c r="I199" i="16"/>
  <c r="J199" i="16"/>
  <c r="K199" i="16"/>
  <c r="L199" i="16"/>
  <c r="M199" i="16"/>
  <c r="I200" i="16"/>
  <c r="J200" i="16"/>
  <c r="K200" i="16"/>
  <c r="L200" i="16"/>
  <c r="M200" i="16"/>
  <c r="I201" i="16"/>
  <c r="J201" i="16"/>
  <c r="K201" i="16"/>
  <c r="L201" i="16"/>
  <c r="M201" i="16"/>
  <c r="I202" i="16"/>
  <c r="J202" i="16"/>
  <c r="K202" i="16"/>
  <c r="L202" i="16"/>
  <c r="M202" i="16"/>
  <c r="I203" i="16"/>
  <c r="J203" i="16"/>
  <c r="K203" i="16"/>
  <c r="L203" i="16"/>
  <c r="M203" i="16"/>
  <c r="I204" i="16"/>
  <c r="J204" i="16"/>
  <c r="K204" i="16"/>
  <c r="L204" i="16"/>
  <c r="M204" i="16"/>
  <c r="I205" i="16"/>
  <c r="J205" i="16"/>
  <c r="K205" i="16"/>
  <c r="L205" i="16"/>
  <c r="M205" i="16"/>
  <c r="I206" i="16"/>
  <c r="J206" i="16"/>
  <c r="K206" i="16"/>
  <c r="L206" i="16"/>
  <c r="M206" i="16"/>
  <c r="I207" i="16"/>
  <c r="J207" i="16"/>
  <c r="K207" i="16"/>
  <c r="L207" i="16"/>
  <c r="M207" i="16"/>
  <c r="I208" i="16"/>
  <c r="J208" i="16"/>
  <c r="K208" i="16"/>
  <c r="L208" i="16"/>
  <c r="M208" i="16"/>
  <c r="I209" i="16"/>
  <c r="J209" i="16"/>
  <c r="K209" i="16"/>
  <c r="L209" i="16"/>
  <c r="M209" i="16"/>
  <c r="I210" i="16"/>
  <c r="J210" i="16"/>
  <c r="K210" i="16"/>
  <c r="L210" i="16"/>
  <c r="M210" i="16"/>
  <c r="M191" i="16"/>
  <c r="L191" i="16"/>
  <c r="K191" i="16"/>
  <c r="J191" i="16"/>
  <c r="I191" i="16"/>
  <c r="U190" i="16"/>
  <c r="U189" i="16"/>
  <c r="U188" i="16"/>
  <c r="U187" i="16"/>
  <c r="U186" i="16"/>
  <c r="I162" i="16"/>
  <c r="J162" i="16"/>
  <c r="K162" i="16"/>
  <c r="L162" i="16"/>
  <c r="M162" i="16"/>
  <c r="I163" i="16"/>
  <c r="J163" i="16"/>
  <c r="K163" i="16"/>
  <c r="L163" i="16"/>
  <c r="M163" i="16"/>
  <c r="I164" i="16"/>
  <c r="J164" i="16"/>
  <c r="K164" i="16"/>
  <c r="L164" i="16"/>
  <c r="M164" i="16"/>
  <c r="I165" i="16"/>
  <c r="J165" i="16"/>
  <c r="K165" i="16"/>
  <c r="L165" i="16"/>
  <c r="M165" i="16"/>
  <c r="I166" i="16"/>
  <c r="J166" i="16"/>
  <c r="K166" i="16"/>
  <c r="L166" i="16"/>
  <c r="M166" i="16"/>
  <c r="I167" i="16"/>
  <c r="J167" i="16"/>
  <c r="K167" i="16"/>
  <c r="L167" i="16"/>
  <c r="M167" i="16"/>
  <c r="I168" i="16"/>
  <c r="J168" i="16"/>
  <c r="K168" i="16"/>
  <c r="L168" i="16"/>
  <c r="M168" i="16"/>
  <c r="I169" i="16"/>
  <c r="J169" i="16"/>
  <c r="K169" i="16"/>
  <c r="L169" i="16"/>
  <c r="M169" i="16"/>
  <c r="I170" i="16"/>
  <c r="J170" i="16"/>
  <c r="K170" i="16"/>
  <c r="L170" i="16"/>
  <c r="M170" i="16"/>
  <c r="I171" i="16"/>
  <c r="J171" i="16"/>
  <c r="K171" i="16"/>
  <c r="L171" i="16"/>
  <c r="M171" i="16"/>
  <c r="I172" i="16"/>
  <c r="J172" i="16"/>
  <c r="K172" i="16"/>
  <c r="L172" i="16"/>
  <c r="M172" i="16"/>
  <c r="I173" i="16"/>
  <c r="J173" i="16"/>
  <c r="K173" i="16"/>
  <c r="L173" i="16"/>
  <c r="M173" i="16"/>
  <c r="I174" i="16"/>
  <c r="J174" i="16"/>
  <c r="K174" i="16"/>
  <c r="L174" i="16"/>
  <c r="M174" i="16"/>
  <c r="I175" i="16"/>
  <c r="J175" i="16"/>
  <c r="K175" i="16"/>
  <c r="L175" i="16"/>
  <c r="M175" i="16"/>
  <c r="I176" i="16"/>
  <c r="J176" i="16"/>
  <c r="K176" i="16"/>
  <c r="L176" i="16"/>
  <c r="M176" i="16"/>
  <c r="I177" i="16"/>
  <c r="J177" i="16"/>
  <c r="K177" i="16"/>
  <c r="L177" i="16"/>
  <c r="M177" i="16"/>
  <c r="I178" i="16"/>
  <c r="J178" i="16"/>
  <c r="K178" i="16"/>
  <c r="L178" i="16"/>
  <c r="M178" i="16"/>
  <c r="I179" i="16"/>
  <c r="J179" i="16"/>
  <c r="K179" i="16"/>
  <c r="L179" i="16"/>
  <c r="M179" i="16"/>
  <c r="I180" i="16"/>
  <c r="J180" i="16"/>
  <c r="K180" i="16"/>
  <c r="L180" i="16"/>
  <c r="M180" i="16"/>
  <c r="M161" i="16"/>
  <c r="L161" i="16"/>
  <c r="K161" i="16"/>
  <c r="J161" i="16"/>
  <c r="I161" i="16"/>
  <c r="U160" i="16"/>
  <c r="U159" i="16"/>
  <c r="U158" i="16"/>
  <c r="U157" i="16"/>
  <c r="U156" i="16"/>
  <c r="I132" i="16"/>
  <c r="J132" i="16"/>
  <c r="K132" i="16"/>
  <c r="L132" i="16"/>
  <c r="M132" i="16"/>
  <c r="I133" i="16"/>
  <c r="J133" i="16"/>
  <c r="K133" i="16"/>
  <c r="L133" i="16"/>
  <c r="M133" i="16"/>
  <c r="I134" i="16"/>
  <c r="J134" i="16"/>
  <c r="K134" i="16"/>
  <c r="L134" i="16"/>
  <c r="M134" i="16"/>
  <c r="I135" i="16"/>
  <c r="J135" i="16"/>
  <c r="K135" i="16"/>
  <c r="L135" i="16"/>
  <c r="M135" i="16"/>
  <c r="I136" i="16"/>
  <c r="J136" i="16"/>
  <c r="K136" i="16"/>
  <c r="L136" i="16"/>
  <c r="M136" i="16"/>
  <c r="I137" i="16"/>
  <c r="J137" i="16"/>
  <c r="K137" i="16"/>
  <c r="L137" i="16"/>
  <c r="M137" i="16"/>
  <c r="I138" i="16"/>
  <c r="J138" i="16"/>
  <c r="K138" i="16"/>
  <c r="L138" i="16"/>
  <c r="M138" i="16"/>
  <c r="I139" i="16"/>
  <c r="J139" i="16"/>
  <c r="K139" i="16"/>
  <c r="L139" i="16"/>
  <c r="M139" i="16"/>
  <c r="I140" i="16"/>
  <c r="J140" i="16"/>
  <c r="K140" i="16"/>
  <c r="L140" i="16"/>
  <c r="M140" i="16"/>
  <c r="I141" i="16"/>
  <c r="J141" i="16"/>
  <c r="K141" i="16"/>
  <c r="L141" i="16"/>
  <c r="M141" i="16"/>
  <c r="I142" i="16"/>
  <c r="J142" i="16"/>
  <c r="K142" i="16"/>
  <c r="L142" i="16"/>
  <c r="M142" i="16"/>
  <c r="I143" i="16"/>
  <c r="J143" i="16"/>
  <c r="K143" i="16"/>
  <c r="L143" i="16"/>
  <c r="M143" i="16"/>
  <c r="I144" i="16"/>
  <c r="J144" i="16"/>
  <c r="K144" i="16"/>
  <c r="L144" i="16"/>
  <c r="M144" i="16"/>
  <c r="I145" i="16"/>
  <c r="J145" i="16"/>
  <c r="K145" i="16"/>
  <c r="L145" i="16"/>
  <c r="M145" i="16"/>
  <c r="I146" i="16"/>
  <c r="J146" i="16"/>
  <c r="K146" i="16"/>
  <c r="L146" i="16"/>
  <c r="M146" i="16"/>
  <c r="I147" i="16"/>
  <c r="J147" i="16"/>
  <c r="K147" i="16"/>
  <c r="L147" i="16"/>
  <c r="M147" i="16"/>
  <c r="I148" i="16"/>
  <c r="J148" i="16"/>
  <c r="K148" i="16"/>
  <c r="L148" i="16"/>
  <c r="M148" i="16"/>
  <c r="I149" i="16"/>
  <c r="J149" i="16"/>
  <c r="K149" i="16"/>
  <c r="L149" i="16"/>
  <c r="M149" i="16"/>
  <c r="I150" i="16"/>
  <c r="J150" i="16"/>
  <c r="K150" i="16"/>
  <c r="L150" i="16"/>
  <c r="M150" i="16"/>
  <c r="M131" i="16"/>
  <c r="L131" i="16"/>
  <c r="K131" i="16"/>
  <c r="J131" i="16"/>
  <c r="I131" i="16"/>
  <c r="U130" i="16"/>
  <c r="U129" i="16"/>
  <c r="U128" i="16"/>
  <c r="U127" i="16"/>
  <c r="U126" i="16"/>
  <c r="I102" i="16"/>
  <c r="J102" i="16"/>
  <c r="K102" i="16"/>
  <c r="L102" i="16"/>
  <c r="M102" i="16"/>
  <c r="I103" i="16"/>
  <c r="J103" i="16"/>
  <c r="K103" i="16"/>
  <c r="L103" i="16"/>
  <c r="M103" i="16"/>
  <c r="I104" i="16"/>
  <c r="J104" i="16"/>
  <c r="K104" i="16"/>
  <c r="L104" i="16"/>
  <c r="M104" i="16"/>
  <c r="I105" i="16"/>
  <c r="J105" i="16"/>
  <c r="K105" i="16"/>
  <c r="L105" i="16"/>
  <c r="M105" i="16"/>
  <c r="I106" i="16"/>
  <c r="J106" i="16"/>
  <c r="K106" i="16"/>
  <c r="L106" i="16"/>
  <c r="M106" i="16"/>
  <c r="I107" i="16"/>
  <c r="J107" i="16"/>
  <c r="K107" i="16"/>
  <c r="L107" i="16"/>
  <c r="M107" i="16"/>
  <c r="I108" i="16"/>
  <c r="J108" i="16"/>
  <c r="K108" i="16"/>
  <c r="L108" i="16"/>
  <c r="M108" i="16"/>
  <c r="I109" i="16"/>
  <c r="J109" i="16"/>
  <c r="K109" i="16"/>
  <c r="L109" i="16"/>
  <c r="M109" i="16"/>
  <c r="I110" i="16"/>
  <c r="J110" i="16"/>
  <c r="K110" i="16"/>
  <c r="L110" i="16"/>
  <c r="M110" i="16"/>
  <c r="I111" i="16"/>
  <c r="J111" i="16"/>
  <c r="K111" i="16"/>
  <c r="L111" i="16"/>
  <c r="M111" i="16"/>
  <c r="I112" i="16"/>
  <c r="J112" i="16"/>
  <c r="K112" i="16"/>
  <c r="L112" i="16"/>
  <c r="M112" i="16"/>
  <c r="I113" i="16"/>
  <c r="J113" i="16"/>
  <c r="K113" i="16"/>
  <c r="L113" i="16"/>
  <c r="M113" i="16"/>
  <c r="I114" i="16"/>
  <c r="J114" i="16"/>
  <c r="K114" i="16"/>
  <c r="L114" i="16"/>
  <c r="M114" i="16"/>
  <c r="I115" i="16"/>
  <c r="J115" i="16"/>
  <c r="K115" i="16"/>
  <c r="L115" i="16"/>
  <c r="M115" i="16"/>
  <c r="I116" i="16"/>
  <c r="J116" i="16"/>
  <c r="K116" i="16"/>
  <c r="L116" i="16"/>
  <c r="M116" i="16"/>
  <c r="I117" i="16"/>
  <c r="J117" i="16"/>
  <c r="K117" i="16"/>
  <c r="L117" i="16"/>
  <c r="M117" i="16"/>
  <c r="I118" i="16"/>
  <c r="J118" i="16"/>
  <c r="K118" i="16"/>
  <c r="L118" i="16"/>
  <c r="M118" i="16"/>
  <c r="I119" i="16"/>
  <c r="J119" i="16"/>
  <c r="K119" i="16"/>
  <c r="L119" i="16"/>
  <c r="M119" i="16"/>
  <c r="I120" i="16"/>
  <c r="J120" i="16"/>
  <c r="K120" i="16"/>
  <c r="L120" i="16"/>
  <c r="M120" i="16"/>
  <c r="M101" i="16"/>
  <c r="L101" i="16"/>
  <c r="K101" i="16"/>
  <c r="J101" i="16"/>
  <c r="I101" i="16"/>
  <c r="U100" i="16"/>
  <c r="U99" i="16"/>
  <c r="U98" i="16"/>
  <c r="U97" i="16"/>
  <c r="U96" i="16"/>
  <c r="I72" i="16"/>
  <c r="J72" i="16"/>
  <c r="K72" i="16"/>
  <c r="L72" i="16"/>
  <c r="M72" i="16"/>
  <c r="I73" i="16"/>
  <c r="J73" i="16"/>
  <c r="K73" i="16"/>
  <c r="L73" i="16"/>
  <c r="M73" i="16"/>
  <c r="I74" i="16"/>
  <c r="J74" i="16"/>
  <c r="K74" i="16"/>
  <c r="L74" i="16"/>
  <c r="M74" i="16"/>
  <c r="I75" i="16"/>
  <c r="J75" i="16"/>
  <c r="K75" i="16"/>
  <c r="L75" i="16"/>
  <c r="M75" i="16"/>
  <c r="I76" i="16"/>
  <c r="J76" i="16"/>
  <c r="K76" i="16"/>
  <c r="L76" i="16"/>
  <c r="M76" i="16"/>
  <c r="I77" i="16"/>
  <c r="J77" i="16"/>
  <c r="K77" i="16"/>
  <c r="L77" i="16"/>
  <c r="M77" i="16"/>
  <c r="I78" i="16"/>
  <c r="J78" i="16"/>
  <c r="K78" i="16"/>
  <c r="L78" i="16"/>
  <c r="M78" i="16"/>
  <c r="I79" i="16"/>
  <c r="J79" i="16"/>
  <c r="K79" i="16"/>
  <c r="L79" i="16"/>
  <c r="M79" i="16"/>
  <c r="I80" i="16"/>
  <c r="J80" i="16"/>
  <c r="K80" i="16"/>
  <c r="L80" i="16"/>
  <c r="M80" i="16"/>
  <c r="I81" i="16"/>
  <c r="J81" i="16"/>
  <c r="K81" i="16"/>
  <c r="L81" i="16"/>
  <c r="M81" i="16"/>
  <c r="I82" i="16"/>
  <c r="J82" i="16"/>
  <c r="K82" i="16"/>
  <c r="L82" i="16"/>
  <c r="M82" i="16"/>
  <c r="I83" i="16"/>
  <c r="J83" i="16"/>
  <c r="K83" i="16"/>
  <c r="L83" i="16"/>
  <c r="M83" i="16"/>
  <c r="I84" i="16"/>
  <c r="J84" i="16"/>
  <c r="K84" i="16"/>
  <c r="L84" i="16"/>
  <c r="M84" i="16"/>
  <c r="I85" i="16"/>
  <c r="J85" i="16"/>
  <c r="K85" i="16"/>
  <c r="L85" i="16"/>
  <c r="M85" i="16"/>
  <c r="I86" i="16"/>
  <c r="J86" i="16"/>
  <c r="K86" i="16"/>
  <c r="L86" i="16"/>
  <c r="M86" i="16"/>
  <c r="I87" i="16"/>
  <c r="J87" i="16"/>
  <c r="K87" i="16"/>
  <c r="L87" i="16"/>
  <c r="M87" i="16"/>
  <c r="I88" i="16"/>
  <c r="J88" i="16"/>
  <c r="K88" i="16"/>
  <c r="L88" i="16"/>
  <c r="M88" i="16"/>
  <c r="I89" i="16"/>
  <c r="J89" i="16"/>
  <c r="K89" i="16"/>
  <c r="L89" i="16"/>
  <c r="M89" i="16"/>
  <c r="I90" i="16"/>
  <c r="J90" i="16"/>
  <c r="K90" i="16"/>
  <c r="L90" i="16"/>
  <c r="M90" i="16"/>
  <c r="M71" i="16"/>
  <c r="L71" i="16"/>
  <c r="K71" i="16"/>
  <c r="J71" i="16"/>
  <c r="I71" i="16"/>
  <c r="U70" i="16"/>
  <c r="U69" i="16"/>
  <c r="U68" i="16"/>
  <c r="U67" i="16"/>
  <c r="U66" i="16"/>
  <c r="U40" i="16"/>
  <c r="U39" i="16"/>
  <c r="U38" i="16"/>
  <c r="U37" i="16"/>
  <c r="U36" i="16"/>
  <c r="U9" i="16"/>
  <c r="X9" i="16" s="1"/>
  <c r="D9" i="8" s="1"/>
  <c r="U8" i="16"/>
  <c r="X8" i="16" s="1"/>
  <c r="D8" i="8" s="1"/>
  <c r="U7" i="16"/>
  <c r="U6" i="16"/>
  <c r="U5" i="16"/>
  <c r="I216" i="16"/>
  <c r="J43" i="16" s="1"/>
  <c r="I217" i="16"/>
  <c r="I218" i="16"/>
  <c r="L45" i="16" s="1"/>
  <c r="I219" i="16"/>
  <c r="M47" i="16" s="1"/>
  <c r="I215" i="16"/>
  <c r="I44" i="16" s="1"/>
  <c r="X5" i="16" l="1"/>
  <c r="D5" i="8" s="1"/>
  <c r="X6" i="16"/>
  <c r="D6" i="8" s="1"/>
  <c r="X7" i="16"/>
  <c r="D7" i="8" s="1"/>
  <c r="C141" i="16"/>
  <c r="E140" i="16"/>
  <c r="H140" i="16" s="1"/>
  <c r="C81" i="16"/>
  <c r="E80" i="16"/>
  <c r="H80" i="16" s="1"/>
  <c r="D111" i="16"/>
  <c r="E110" i="16"/>
  <c r="H110" i="16" s="1"/>
  <c r="C171" i="16"/>
  <c r="E170" i="16"/>
  <c r="H170" i="16" s="1"/>
  <c r="C51" i="16"/>
  <c r="E50" i="16"/>
  <c r="H50" i="16" s="1"/>
  <c r="C202" i="16"/>
  <c r="E201" i="16"/>
  <c r="H201" i="16" s="1"/>
  <c r="L17" i="18"/>
  <c r="M17" i="18" s="1"/>
  <c r="H17" i="18"/>
  <c r="I17" i="18" s="1"/>
  <c r="D19" i="18"/>
  <c r="E18" i="18"/>
  <c r="C20" i="16"/>
  <c r="E19" i="16"/>
  <c r="H19" i="16" s="1"/>
  <c r="L60" i="16"/>
  <c r="L56" i="16"/>
  <c r="J52" i="16"/>
  <c r="I47" i="16"/>
  <c r="I43" i="16"/>
  <c r="M59" i="16"/>
  <c r="I55" i="16"/>
  <c r="I51" i="16"/>
  <c r="J46" i="16"/>
  <c r="J42" i="16"/>
  <c r="I59" i="16"/>
  <c r="J54" i="16"/>
  <c r="J50" i="16"/>
  <c r="I45" i="16"/>
  <c r="I41" i="16"/>
  <c r="J58" i="16"/>
  <c r="I53" i="16"/>
  <c r="L48" i="16"/>
  <c r="J44" i="16"/>
  <c r="U53" i="7"/>
  <c r="S53" i="7"/>
  <c r="T29" i="7"/>
  <c r="R29" i="7"/>
  <c r="T21" i="7"/>
  <c r="R21" i="7"/>
  <c r="U44" i="7"/>
  <c r="S44" i="7"/>
  <c r="U20" i="7"/>
  <c r="S20" i="7"/>
  <c r="U16" i="7"/>
  <c r="S16" i="7"/>
  <c r="T51" i="7"/>
  <c r="R51" i="7"/>
  <c r="T35" i="7"/>
  <c r="R35" i="7"/>
  <c r="AC19" i="7"/>
  <c r="AD19" i="7"/>
  <c r="U42" i="7"/>
  <c r="S42" i="7"/>
  <c r="U26" i="7"/>
  <c r="S26" i="7"/>
  <c r="T18" i="7"/>
  <c r="R18" i="7"/>
  <c r="T49" i="7"/>
  <c r="R49" i="7"/>
  <c r="T41" i="7"/>
  <c r="R41" i="7"/>
  <c r="T33" i="7"/>
  <c r="R33" i="7"/>
  <c r="T25" i="7"/>
  <c r="R25" i="7"/>
  <c r="U17" i="7"/>
  <c r="S17" i="7"/>
  <c r="U9" i="7"/>
  <c r="S9" i="7"/>
  <c r="U48" i="7"/>
  <c r="S48" i="7"/>
  <c r="U40" i="7"/>
  <c r="S40" i="7"/>
  <c r="U32" i="7"/>
  <c r="S32" i="7"/>
  <c r="U24" i="7"/>
  <c r="S24" i="7"/>
  <c r="T16" i="7"/>
  <c r="R16" i="7"/>
  <c r="T8" i="7"/>
  <c r="R8" i="7"/>
  <c r="U51" i="7"/>
  <c r="S51" i="7"/>
  <c r="U43" i="7"/>
  <c r="S43" i="7"/>
  <c r="U35" i="7"/>
  <c r="S35" i="7"/>
  <c r="U27" i="7"/>
  <c r="S27" i="7"/>
  <c r="U19" i="7"/>
  <c r="S19" i="7"/>
  <c r="U15" i="7"/>
  <c r="S15" i="7"/>
  <c r="U7" i="7"/>
  <c r="S7" i="7"/>
  <c r="T54" i="7"/>
  <c r="R54" i="7"/>
  <c r="T46" i="7"/>
  <c r="R46" i="7"/>
  <c r="T38" i="7"/>
  <c r="R38" i="7"/>
  <c r="T30" i="7"/>
  <c r="R30" i="7"/>
  <c r="T22" i="7"/>
  <c r="R22" i="7"/>
  <c r="U14" i="7"/>
  <c r="S14" i="7"/>
  <c r="U6" i="7"/>
  <c r="S6" i="7"/>
  <c r="T37" i="7"/>
  <c r="R37" i="7"/>
  <c r="T13" i="7"/>
  <c r="R13" i="7"/>
  <c r="U52" i="7"/>
  <c r="S52" i="7"/>
  <c r="U28" i="7"/>
  <c r="S28" i="7"/>
  <c r="U8" i="7"/>
  <c r="S8" i="7"/>
  <c r="T43" i="7"/>
  <c r="R43" i="7"/>
  <c r="T3" i="7"/>
  <c r="R3" i="7"/>
  <c r="U50" i="7"/>
  <c r="S50" i="7"/>
  <c r="T10" i="7"/>
  <c r="R10" i="7"/>
  <c r="T53" i="7"/>
  <c r="R53" i="7"/>
  <c r="U45" i="7"/>
  <c r="S45" i="7"/>
  <c r="U37" i="7"/>
  <c r="S37" i="7"/>
  <c r="U29" i="7"/>
  <c r="S29" i="7"/>
  <c r="U21" i="7"/>
  <c r="S21" i="7"/>
  <c r="U13" i="7"/>
  <c r="S13" i="7"/>
  <c r="U5" i="7"/>
  <c r="S5" i="7"/>
  <c r="T52" i="7"/>
  <c r="R52" i="7"/>
  <c r="T44" i="7"/>
  <c r="R44" i="7"/>
  <c r="T36" i="7"/>
  <c r="R36" i="7"/>
  <c r="T28" i="7"/>
  <c r="R28" i="7"/>
  <c r="AC20" i="7"/>
  <c r="AD20" i="7"/>
  <c r="T12" i="7"/>
  <c r="R12" i="7"/>
  <c r="U47" i="7"/>
  <c r="S47" i="7"/>
  <c r="U39" i="7"/>
  <c r="S39" i="7"/>
  <c r="U31" i="7"/>
  <c r="S31" i="7"/>
  <c r="U23" i="7"/>
  <c r="S23" i="7"/>
  <c r="T19" i="7"/>
  <c r="R19" i="7"/>
  <c r="U11" i="7"/>
  <c r="S11" i="7"/>
  <c r="U3" i="7"/>
  <c r="S3" i="7"/>
  <c r="T50" i="7"/>
  <c r="R50" i="7"/>
  <c r="T42" i="7"/>
  <c r="R42" i="7"/>
  <c r="T34" i="7"/>
  <c r="R34" i="7"/>
  <c r="T26" i="7"/>
  <c r="R26" i="7"/>
  <c r="U18" i="7"/>
  <c r="S18" i="7"/>
  <c r="U10" i="7"/>
  <c r="S10" i="7"/>
  <c r="T4" i="7"/>
  <c r="R4" i="7"/>
  <c r="T45" i="7"/>
  <c r="R45" i="7"/>
  <c r="T5" i="7"/>
  <c r="R5" i="7"/>
  <c r="U36" i="7"/>
  <c r="S36" i="7"/>
  <c r="T27" i="7"/>
  <c r="R27" i="7"/>
  <c r="T11" i="7"/>
  <c r="R11" i="7"/>
  <c r="U34" i="7"/>
  <c r="S34" i="7"/>
  <c r="U49" i="7"/>
  <c r="S49" i="7"/>
  <c r="U41" i="7"/>
  <c r="S41" i="7"/>
  <c r="U33" i="7"/>
  <c r="S33" i="7"/>
  <c r="U25" i="7"/>
  <c r="S25" i="7"/>
  <c r="T17" i="7"/>
  <c r="R17" i="7"/>
  <c r="T9" i="7"/>
  <c r="R9" i="7"/>
  <c r="T48" i="7"/>
  <c r="R48" i="7"/>
  <c r="T40" i="7"/>
  <c r="R40" i="7"/>
  <c r="T32" i="7"/>
  <c r="R32" i="7"/>
  <c r="T24" i="7"/>
  <c r="R24" i="7"/>
  <c r="T20" i="7"/>
  <c r="R20" i="7"/>
  <c r="U12" i="7"/>
  <c r="S12" i="7"/>
  <c r="T47" i="7"/>
  <c r="R47" i="7"/>
  <c r="T39" i="7"/>
  <c r="R39" i="7"/>
  <c r="T31" i="7"/>
  <c r="R31" i="7"/>
  <c r="T23" i="7"/>
  <c r="R23" i="7"/>
  <c r="T15" i="7"/>
  <c r="R15" i="7"/>
  <c r="T7" i="7"/>
  <c r="R7" i="7"/>
  <c r="U54" i="7"/>
  <c r="S54" i="7"/>
  <c r="U46" i="7"/>
  <c r="S46" i="7"/>
  <c r="U38" i="7"/>
  <c r="S38" i="7"/>
  <c r="U30" i="7"/>
  <c r="S30" i="7"/>
  <c r="U22" i="7"/>
  <c r="S22" i="7"/>
  <c r="T14" i="7"/>
  <c r="R14" i="7"/>
  <c r="T6" i="7"/>
  <c r="R6" i="7"/>
  <c r="U4" i="7"/>
  <c r="S4" i="7"/>
  <c r="K49" i="16"/>
  <c r="K53" i="16"/>
  <c r="K45" i="16"/>
  <c r="K59" i="16"/>
  <c r="K41" i="16"/>
  <c r="I57" i="16"/>
  <c r="L54" i="16"/>
  <c r="L52" i="16"/>
  <c r="L50" i="16"/>
  <c r="J48" i="16"/>
  <c r="M43" i="16"/>
  <c r="J60" i="16"/>
  <c r="L58" i="16"/>
  <c r="J56" i="16"/>
  <c r="M51" i="16"/>
  <c r="I49" i="16"/>
  <c r="L46" i="16"/>
  <c r="L44" i="16"/>
  <c r="L42" i="16"/>
  <c r="M41" i="16"/>
  <c r="M57" i="16"/>
  <c r="M49" i="16"/>
  <c r="K43" i="16"/>
  <c r="K51" i="16"/>
  <c r="K57" i="16"/>
  <c r="M55" i="16"/>
  <c r="M44" i="16"/>
  <c r="M48" i="16"/>
  <c r="M52" i="16"/>
  <c r="M56" i="16"/>
  <c r="M60" i="16"/>
  <c r="M42" i="16"/>
  <c r="M46" i="16"/>
  <c r="M50" i="16"/>
  <c r="M54" i="16"/>
  <c r="M58" i="16"/>
  <c r="K42" i="16"/>
  <c r="K46" i="16"/>
  <c r="K50" i="16"/>
  <c r="K54" i="16"/>
  <c r="K58" i="16"/>
  <c r="K44" i="16"/>
  <c r="K48" i="16"/>
  <c r="K52" i="16"/>
  <c r="K56" i="16"/>
  <c r="K60" i="16"/>
  <c r="K55" i="16"/>
  <c r="M53" i="16"/>
  <c r="K47" i="16"/>
  <c r="M45" i="16"/>
  <c r="L41" i="16"/>
  <c r="S41" i="16" s="1"/>
  <c r="L59" i="16"/>
  <c r="I58" i="16"/>
  <c r="J57" i="16"/>
  <c r="L55" i="16"/>
  <c r="I54" i="16"/>
  <c r="J53" i="16"/>
  <c r="L51" i="16"/>
  <c r="I50" i="16"/>
  <c r="J49" i="16"/>
  <c r="L47" i="16"/>
  <c r="I46" i="16"/>
  <c r="J45" i="16"/>
  <c r="L43" i="16"/>
  <c r="I42" i="16"/>
  <c r="J41" i="16"/>
  <c r="I60" i="16"/>
  <c r="J59" i="16"/>
  <c r="L57" i="16"/>
  <c r="I56" i="16"/>
  <c r="J55" i="16"/>
  <c r="L53" i="16"/>
  <c r="I52" i="16"/>
  <c r="J51" i="16"/>
  <c r="L49" i="16"/>
  <c r="S49" i="16" s="1"/>
  <c r="I48" i="16"/>
  <c r="J47" i="16"/>
  <c r="U29" i="8"/>
  <c r="M29" i="8"/>
  <c r="F29" i="8"/>
  <c r="N29" i="8" s="1"/>
  <c r="H28" i="8"/>
  <c r="F28" i="8"/>
  <c r="N28" i="8" s="1"/>
  <c r="H27" i="8"/>
  <c r="F27" i="8"/>
  <c r="N27" i="8" s="1"/>
  <c r="H26" i="8"/>
  <c r="F26" i="8"/>
  <c r="N26" i="8" s="1"/>
  <c r="H25" i="8"/>
  <c r="F25" i="8"/>
  <c r="N25" i="8" s="1"/>
  <c r="H24" i="8"/>
  <c r="F24" i="8"/>
  <c r="N24" i="8" s="1"/>
  <c r="H23" i="8"/>
  <c r="F23" i="8"/>
  <c r="N23" i="8" s="1"/>
  <c r="H22" i="8"/>
  <c r="F22" i="8"/>
  <c r="N22" i="8" s="1"/>
  <c r="H21" i="8"/>
  <c r="F21" i="8"/>
  <c r="N21" i="8" s="1"/>
  <c r="H20" i="8"/>
  <c r="F20" i="8"/>
  <c r="N20" i="8" s="1"/>
  <c r="H19" i="8"/>
  <c r="F19" i="8"/>
  <c r="N19" i="8" s="1"/>
  <c r="H18" i="8"/>
  <c r="F18" i="8"/>
  <c r="N18" i="8" s="1"/>
  <c r="U17" i="8"/>
  <c r="M17" i="8"/>
  <c r="H17" i="8"/>
  <c r="F17" i="8"/>
  <c r="N17" i="8" s="1"/>
  <c r="U16" i="8"/>
  <c r="M16" i="8"/>
  <c r="H16" i="8"/>
  <c r="F16" i="8"/>
  <c r="N16" i="8" s="1"/>
  <c r="U15" i="8"/>
  <c r="M15" i="8"/>
  <c r="H15" i="8"/>
  <c r="F15" i="8"/>
  <c r="N15" i="8" s="1"/>
  <c r="U14" i="8"/>
  <c r="M14" i="8"/>
  <c r="H14" i="8"/>
  <c r="F14" i="8"/>
  <c r="N14" i="8" s="1"/>
  <c r="U13" i="8"/>
  <c r="M13" i="8"/>
  <c r="H13" i="8"/>
  <c r="F13" i="8"/>
  <c r="N13" i="8" s="1"/>
  <c r="U12" i="8"/>
  <c r="M12" i="8"/>
  <c r="H12" i="8"/>
  <c r="F12" i="8"/>
  <c r="N12" i="8" s="1"/>
  <c r="U11" i="8"/>
  <c r="M11" i="8"/>
  <c r="H11" i="8"/>
  <c r="F11" i="8"/>
  <c r="N11" i="8" s="1"/>
  <c r="U10" i="8"/>
  <c r="M10" i="8"/>
  <c r="H10" i="8"/>
  <c r="F10" i="8"/>
  <c r="N10" i="8" s="1"/>
  <c r="U9" i="8"/>
  <c r="T9" i="8"/>
  <c r="M9" i="8"/>
  <c r="L9" i="8"/>
  <c r="H9" i="8"/>
  <c r="F9" i="8"/>
  <c r="V9" i="8" s="1"/>
  <c r="U8" i="8"/>
  <c r="T8" i="8"/>
  <c r="M8" i="8"/>
  <c r="L8" i="8"/>
  <c r="H8" i="8"/>
  <c r="F8" i="8"/>
  <c r="V8" i="8" s="1"/>
  <c r="U7" i="8"/>
  <c r="T7" i="8"/>
  <c r="M7" i="8"/>
  <c r="L7" i="8"/>
  <c r="H7" i="8"/>
  <c r="X7" i="8" s="1"/>
  <c r="F7" i="8"/>
  <c r="V7" i="8" s="1"/>
  <c r="U6" i="8"/>
  <c r="T6" i="8"/>
  <c r="M6" i="8"/>
  <c r="L6" i="8"/>
  <c r="H6" i="8"/>
  <c r="X6" i="8" s="1"/>
  <c r="F6" i="8"/>
  <c r="N6" i="8" s="1"/>
  <c r="U5" i="8"/>
  <c r="T5" i="8"/>
  <c r="M5" i="8"/>
  <c r="L5" i="8"/>
  <c r="H5" i="8"/>
  <c r="F5" i="8"/>
  <c r="V5" i="8" s="1"/>
  <c r="G29" i="1"/>
  <c r="G28" i="1"/>
  <c r="G27" i="1"/>
  <c r="G26" i="1"/>
  <c r="G25" i="1"/>
  <c r="G24" i="1"/>
  <c r="G23" i="1"/>
  <c r="G22" i="1"/>
  <c r="G21" i="1"/>
  <c r="G20" i="1"/>
  <c r="G19" i="1"/>
  <c r="G18" i="1"/>
  <c r="G17" i="1"/>
  <c r="G16" i="1"/>
  <c r="G15" i="1"/>
  <c r="G14" i="1"/>
  <c r="G13" i="1"/>
  <c r="G12" i="1"/>
  <c r="G11" i="1"/>
  <c r="K10" i="1"/>
  <c r="G10" i="1"/>
  <c r="G9" i="1"/>
  <c r="G8" i="1"/>
  <c r="F8" i="1"/>
  <c r="E8" i="1"/>
  <c r="G7" i="1"/>
  <c r="F7" i="1"/>
  <c r="E7" i="1"/>
  <c r="G6" i="1"/>
  <c r="D6" i="1"/>
  <c r="G5" i="1"/>
  <c r="D5" i="1"/>
  <c r="C5" i="1"/>
  <c r="G4" i="1"/>
  <c r="C4" i="1"/>
  <c r="Y219" i="16"/>
  <c r="Z219" i="16" s="1"/>
  <c r="T191" i="16" s="1"/>
  <c r="N219" i="16"/>
  <c r="O219" i="16" s="1"/>
  <c r="T13" i="16" s="1"/>
  <c r="X218" i="16"/>
  <c r="Z218" i="16" s="1"/>
  <c r="M218" i="16"/>
  <c r="O218" i="16" s="1"/>
  <c r="S78" i="16" s="1"/>
  <c r="X217" i="16"/>
  <c r="Z217" i="16" s="1"/>
  <c r="R197" i="16" s="1"/>
  <c r="M217" i="16"/>
  <c r="O217" i="16" s="1"/>
  <c r="X216" i="16"/>
  <c r="Z216" i="16" s="1"/>
  <c r="Q137" i="16" s="1"/>
  <c r="M216" i="16"/>
  <c r="O216" i="16" s="1"/>
  <c r="Q42" i="16" s="1"/>
  <c r="X215" i="16"/>
  <c r="W215" i="16"/>
  <c r="Z215" i="16" s="1"/>
  <c r="P198" i="16" s="1"/>
  <c r="M215" i="16"/>
  <c r="L215" i="16"/>
  <c r="O215" i="16" s="1"/>
  <c r="T201" i="16"/>
  <c r="T195" i="16"/>
  <c r="P168" i="16"/>
  <c r="T166" i="16"/>
  <c r="T163" i="16"/>
  <c r="T162" i="16"/>
  <c r="T161" i="16"/>
  <c r="P150" i="16"/>
  <c r="T140" i="16"/>
  <c r="S137" i="16"/>
  <c r="T136" i="16"/>
  <c r="S136" i="16"/>
  <c r="Q136" i="16"/>
  <c r="S135" i="16"/>
  <c r="T134" i="16"/>
  <c r="S134" i="16"/>
  <c r="Q134" i="16"/>
  <c r="T133" i="16"/>
  <c r="S133" i="16"/>
  <c r="T132" i="16"/>
  <c r="S132" i="16"/>
  <c r="Q132" i="16"/>
  <c r="T131" i="16"/>
  <c r="S131" i="16"/>
  <c r="T120" i="16"/>
  <c r="S120" i="16"/>
  <c r="Q120" i="16"/>
  <c r="T110" i="16"/>
  <c r="S110" i="16"/>
  <c r="Q110" i="16"/>
  <c r="S109" i="16"/>
  <c r="T108" i="16"/>
  <c r="S108" i="16"/>
  <c r="Q108" i="16"/>
  <c r="T107" i="16"/>
  <c r="S107" i="16"/>
  <c r="T106" i="16"/>
  <c r="S106" i="16"/>
  <c r="Q106" i="16"/>
  <c r="T105" i="16"/>
  <c r="S105" i="16"/>
  <c r="T104" i="16"/>
  <c r="S104" i="16"/>
  <c r="Q104" i="16"/>
  <c r="T103" i="16"/>
  <c r="S103" i="16"/>
  <c r="S102" i="16"/>
  <c r="Q102" i="16"/>
  <c r="T101" i="16"/>
  <c r="S101" i="16"/>
  <c r="S79" i="16"/>
  <c r="S75" i="16"/>
  <c r="S71" i="16"/>
  <c r="Q48" i="16"/>
  <c r="S47" i="16"/>
  <c r="Q45" i="16"/>
  <c r="Q44" i="16"/>
  <c r="Q43" i="16"/>
  <c r="S42" i="16"/>
  <c r="M29" i="16"/>
  <c r="L29" i="16"/>
  <c r="K29" i="16"/>
  <c r="J29" i="16"/>
  <c r="Q29" i="16" s="1"/>
  <c r="I29" i="16"/>
  <c r="M28" i="16"/>
  <c r="L28" i="16"/>
  <c r="K28" i="16"/>
  <c r="J28" i="16"/>
  <c r="I28" i="16"/>
  <c r="M27" i="16"/>
  <c r="L27" i="16"/>
  <c r="K27" i="16"/>
  <c r="J27" i="16"/>
  <c r="I27" i="16"/>
  <c r="M26" i="16"/>
  <c r="L26" i="16"/>
  <c r="K26" i="16"/>
  <c r="J26" i="16"/>
  <c r="I26" i="16"/>
  <c r="M25" i="16"/>
  <c r="L25" i="16"/>
  <c r="K25" i="16"/>
  <c r="J25" i="16"/>
  <c r="I25" i="16"/>
  <c r="M24" i="16"/>
  <c r="L24" i="16"/>
  <c r="K24" i="16"/>
  <c r="J24" i="16"/>
  <c r="I24" i="16"/>
  <c r="M23" i="16"/>
  <c r="L23" i="16"/>
  <c r="K23" i="16"/>
  <c r="J23" i="16"/>
  <c r="I23" i="16"/>
  <c r="M22" i="16"/>
  <c r="L22" i="16"/>
  <c r="K22" i="16"/>
  <c r="J22" i="16"/>
  <c r="I22" i="16"/>
  <c r="M21" i="16"/>
  <c r="L21" i="16"/>
  <c r="K21" i="16"/>
  <c r="J21" i="16"/>
  <c r="I21" i="16"/>
  <c r="M20" i="16"/>
  <c r="L20" i="16"/>
  <c r="K20" i="16"/>
  <c r="J20" i="16"/>
  <c r="I20" i="16"/>
  <c r="M19" i="16"/>
  <c r="L19" i="16"/>
  <c r="S19" i="16" s="1"/>
  <c r="K19" i="16"/>
  <c r="R19" i="16" s="1"/>
  <c r="J19" i="16"/>
  <c r="I19" i="16"/>
  <c r="Q18" i="16"/>
  <c r="M18" i="16"/>
  <c r="L18" i="16"/>
  <c r="S18" i="16" s="1"/>
  <c r="K18" i="16"/>
  <c r="R18" i="16" s="1"/>
  <c r="J18" i="16"/>
  <c r="I18" i="16"/>
  <c r="T17" i="16"/>
  <c r="M17" i="16"/>
  <c r="L17" i="16"/>
  <c r="S17" i="16" s="1"/>
  <c r="K17" i="16"/>
  <c r="R17" i="16" s="1"/>
  <c r="J17" i="16"/>
  <c r="I17" i="16"/>
  <c r="S16" i="16"/>
  <c r="M16" i="16"/>
  <c r="T16" i="16" s="1"/>
  <c r="L16" i="16"/>
  <c r="K16" i="16"/>
  <c r="R16" i="16" s="1"/>
  <c r="J16" i="16"/>
  <c r="Q16" i="16" s="1"/>
  <c r="I16" i="16"/>
  <c r="M15" i="16"/>
  <c r="T15" i="16" s="1"/>
  <c r="L15" i="16"/>
  <c r="K15" i="16"/>
  <c r="R15" i="16" s="1"/>
  <c r="J15" i="16"/>
  <c r="Q15" i="16" s="1"/>
  <c r="I15" i="16"/>
  <c r="P15" i="16" s="1"/>
  <c r="M14" i="16"/>
  <c r="L14" i="16"/>
  <c r="S14" i="16" s="1"/>
  <c r="K14" i="16"/>
  <c r="R14" i="16" s="1"/>
  <c r="J14" i="16"/>
  <c r="Q14" i="16" s="1"/>
  <c r="I14" i="16"/>
  <c r="M13" i="16"/>
  <c r="L13" i="16"/>
  <c r="S13" i="16" s="1"/>
  <c r="K13" i="16"/>
  <c r="R13" i="16" s="1"/>
  <c r="J13" i="16"/>
  <c r="Q13" i="16" s="1"/>
  <c r="I13" i="16"/>
  <c r="P13" i="16" s="1"/>
  <c r="M12" i="16"/>
  <c r="T12" i="16" s="1"/>
  <c r="L12" i="16"/>
  <c r="K12" i="16"/>
  <c r="R12" i="16" s="1"/>
  <c r="J12" i="16"/>
  <c r="Q12" i="16" s="1"/>
  <c r="I12" i="16"/>
  <c r="T11" i="16"/>
  <c r="M11" i="16"/>
  <c r="L11" i="16"/>
  <c r="K11" i="16"/>
  <c r="R11" i="16" s="1"/>
  <c r="J11" i="16"/>
  <c r="I11" i="16"/>
  <c r="P11" i="16" s="1"/>
  <c r="S10" i="16"/>
  <c r="M10" i="16"/>
  <c r="L10" i="16"/>
  <c r="K10" i="16"/>
  <c r="R10" i="16" s="1"/>
  <c r="J10" i="16"/>
  <c r="Q10" i="16" s="1"/>
  <c r="I10" i="16"/>
  <c r="E28" i="17"/>
  <c r="H28" i="17" s="1"/>
  <c r="I28" i="17" s="1"/>
  <c r="J28" i="17" s="1"/>
  <c r="E27" i="17"/>
  <c r="H27" i="17" s="1"/>
  <c r="I27" i="17" s="1"/>
  <c r="J27" i="17" s="1"/>
  <c r="E26" i="17"/>
  <c r="H26" i="17" s="1"/>
  <c r="I26" i="17" s="1"/>
  <c r="J26" i="17" s="1"/>
  <c r="E25" i="17"/>
  <c r="H25" i="17" s="1"/>
  <c r="I25" i="17" s="1"/>
  <c r="J25" i="17" s="1"/>
  <c r="E24" i="17"/>
  <c r="H24" i="17" s="1"/>
  <c r="I24" i="17" s="1"/>
  <c r="J24" i="17" s="1"/>
  <c r="E23" i="17"/>
  <c r="H23" i="17" s="1"/>
  <c r="I23" i="17" s="1"/>
  <c r="J23" i="17" s="1"/>
  <c r="E22" i="17"/>
  <c r="H22" i="17" s="1"/>
  <c r="I22" i="17" s="1"/>
  <c r="J22" i="17" s="1"/>
  <c r="E21" i="17"/>
  <c r="H21" i="17" s="1"/>
  <c r="I21" i="17" s="1"/>
  <c r="J21" i="17" s="1"/>
  <c r="E20" i="17"/>
  <c r="H20" i="17" s="1"/>
  <c r="I20" i="17" s="1"/>
  <c r="J20" i="17" s="1"/>
  <c r="E19" i="17"/>
  <c r="H19" i="17" s="1"/>
  <c r="I19" i="17" s="1"/>
  <c r="J19" i="17" s="1"/>
  <c r="E18" i="17"/>
  <c r="H18" i="17" s="1"/>
  <c r="I18" i="17" s="1"/>
  <c r="J18" i="17" s="1"/>
  <c r="E17" i="17"/>
  <c r="H17" i="17" s="1"/>
  <c r="I17" i="17" s="1"/>
  <c r="J17" i="17" s="1"/>
  <c r="E16" i="17"/>
  <c r="H16" i="17" s="1"/>
  <c r="I16" i="17" s="1"/>
  <c r="J16" i="17" s="1"/>
  <c r="E15" i="17"/>
  <c r="H15" i="17" s="1"/>
  <c r="I15" i="17" s="1"/>
  <c r="J15" i="17" s="1"/>
  <c r="E14" i="17"/>
  <c r="H14" i="17" s="1"/>
  <c r="I14" i="17" s="1"/>
  <c r="J14" i="17" s="1"/>
  <c r="E13" i="17"/>
  <c r="H13" i="17" s="1"/>
  <c r="I13" i="17" s="1"/>
  <c r="J13" i="17" s="1"/>
  <c r="E12" i="17"/>
  <c r="H12" i="17" s="1"/>
  <c r="I12" i="17" s="1"/>
  <c r="J12" i="17" s="1"/>
  <c r="E11" i="17"/>
  <c r="H11" i="17" s="1"/>
  <c r="I11" i="17" s="1"/>
  <c r="J11" i="17" s="1"/>
  <c r="E10" i="17"/>
  <c r="H10" i="17" s="1"/>
  <c r="I10" i="17" s="1"/>
  <c r="J10" i="17" s="1"/>
  <c r="E9" i="17"/>
  <c r="H9" i="17" s="1"/>
  <c r="I9" i="17" s="1"/>
  <c r="J9" i="17" s="1"/>
  <c r="R8" i="17"/>
  <c r="C9" i="8" s="1"/>
  <c r="S9" i="8" s="1"/>
  <c r="R7" i="17"/>
  <c r="C8" i="8" s="1"/>
  <c r="K8" i="8" s="1"/>
  <c r="R6" i="17"/>
  <c r="C7" i="8" s="1"/>
  <c r="K7" i="8" s="1"/>
  <c r="R5" i="17"/>
  <c r="C6" i="8" s="1"/>
  <c r="S6" i="8" s="1"/>
  <c r="R4" i="17"/>
  <c r="C5" i="8" s="1"/>
  <c r="P17" i="18" l="1"/>
  <c r="E18" i="8" s="1"/>
  <c r="P78" i="16"/>
  <c r="P60" i="16"/>
  <c r="P17" i="16"/>
  <c r="P45" i="16"/>
  <c r="P90" i="16"/>
  <c r="P77" i="16"/>
  <c r="P73" i="16"/>
  <c r="P50" i="16"/>
  <c r="P44" i="16"/>
  <c r="P80" i="16"/>
  <c r="P76" i="16"/>
  <c r="P72" i="16"/>
  <c r="P79" i="16"/>
  <c r="P75" i="16"/>
  <c r="P71" i="16"/>
  <c r="P47" i="16"/>
  <c r="P42" i="16"/>
  <c r="P74" i="16"/>
  <c r="R163" i="16"/>
  <c r="S12" i="16"/>
  <c r="P16" i="16"/>
  <c r="Q17" i="16"/>
  <c r="P48" i="16"/>
  <c r="Q49" i="16"/>
  <c r="Q60" i="16"/>
  <c r="P29" i="16"/>
  <c r="Q41" i="16"/>
  <c r="S44" i="16"/>
  <c r="Q46" i="16"/>
  <c r="P12" i="16"/>
  <c r="R161" i="16"/>
  <c r="R169" i="16"/>
  <c r="P10" i="16"/>
  <c r="Q11" i="16"/>
  <c r="S15" i="16"/>
  <c r="T18" i="16"/>
  <c r="Q19" i="16"/>
  <c r="S72" i="16"/>
  <c r="S76" i="16"/>
  <c r="S80" i="16"/>
  <c r="R170" i="16"/>
  <c r="S43" i="16"/>
  <c r="P49" i="16"/>
  <c r="P41" i="16"/>
  <c r="R162" i="16"/>
  <c r="P180" i="16"/>
  <c r="S11" i="16"/>
  <c r="T14" i="16"/>
  <c r="S50" i="16"/>
  <c r="S73" i="16"/>
  <c r="S77" i="16"/>
  <c r="S90" i="16"/>
  <c r="P46" i="16"/>
  <c r="Q50" i="16"/>
  <c r="P43" i="16"/>
  <c r="P14" i="16"/>
  <c r="P19" i="16"/>
  <c r="T10" i="16"/>
  <c r="P18" i="16"/>
  <c r="S46" i="16"/>
  <c r="S60" i="16"/>
  <c r="S74" i="16"/>
  <c r="P138" i="16"/>
  <c r="C172" i="16"/>
  <c r="E171" i="16"/>
  <c r="H171" i="16" s="1"/>
  <c r="D112" i="16"/>
  <c r="E111" i="16"/>
  <c r="H111" i="16" s="1"/>
  <c r="S111" i="16" s="1"/>
  <c r="C203" i="16"/>
  <c r="E202" i="16"/>
  <c r="H202" i="16" s="1"/>
  <c r="P202" i="16" s="1"/>
  <c r="C82" i="16"/>
  <c r="E81" i="16"/>
  <c r="H81" i="16" s="1"/>
  <c r="Q81" i="16" s="1"/>
  <c r="C52" i="16"/>
  <c r="E51" i="16"/>
  <c r="H51" i="16" s="1"/>
  <c r="C142" i="16"/>
  <c r="E141" i="16"/>
  <c r="H141" i="16" s="1"/>
  <c r="T141" i="16" s="1"/>
  <c r="P5" i="8"/>
  <c r="X5" i="8"/>
  <c r="P9" i="8"/>
  <c r="X9" i="8"/>
  <c r="P8" i="8"/>
  <c r="X8" i="8"/>
  <c r="P11" i="8"/>
  <c r="X11" i="8"/>
  <c r="P13" i="8"/>
  <c r="X13" i="8"/>
  <c r="P15" i="8"/>
  <c r="X15" i="8"/>
  <c r="P17" i="8"/>
  <c r="X17" i="8"/>
  <c r="P19" i="8"/>
  <c r="X19" i="8"/>
  <c r="P21" i="8"/>
  <c r="X21" i="8"/>
  <c r="P23" i="8"/>
  <c r="X23" i="8"/>
  <c r="P25" i="8"/>
  <c r="X25" i="8"/>
  <c r="P27" i="8"/>
  <c r="X27" i="8"/>
  <c r="P29" i="8"/>
  <c r="X29" i="8"/>
  <c r="P10" i="8"/>
  <c r="X10" i="8"/>
  <c r="P12" i="8"/>
  <c r="X12" i="8"/>
  <c r="P14" i="8"/>
  <c r="X14" i="8"/>
  <c r="P16" i="8"/>
  <c r="X16" i="8"/>
  <c r="P18" i="8"/>
  <c r="X18" i="8"/>
  <c r="P20" i="8"/>
  <c r="X20" i="8"/>
  <c r="P22" i="8"/>
  <c r="X22" i="8"/>
  <c r="P24" i="8"/>
  <c r="X24" i="8"/>
  <c r="P26" i="8"/>
  <c r="X26" i="8"/>
  <c r="P28" i="8"/>
  <c r="X28" i="8"/>
  <c r="N5" i="8"/>
  <c r="N9" i="8"/>
  <c r="N8" i="8"/>
  <c r="H32" i="8"/>
  <c r="P6" i="8"/>
  <c r="N7" i="8"/>
  <c r="V10" i="8"/>
  <c r="V11" i="8"/>
  <c r="V12" i="8"/>
  <c r="V13" i="8"/>
  <c r="V14" i="8"/>
  <c r="V15" i="8"/>
  <c r="V16" i="8"/>
  <c r="V17" i="8"/>
  <c r="V18" i="8"/>
  <c r="V19" i="8"/>
  <c r="V20" i="8"/>
  <c r="V21" i="8"/>
  <c r="V22" i="8"/>
  <c r="V23" i="8"/>
  <c r="V24" i="8"/>
  <c r="V25" i="8"/>
  <c r="V26" i="8"/>
  <c r="V27" i="8"/>
  <c r="V28" i="8"/>
  <c r="V29" i="8"/>
  <c r="P7" i="8"/>
  <c r="V6" i="8"/>
  <c r="L18" i="18"/>
  <c r="M18" i="18" s="1"/>
  <c r="H18" i="18"/>
  <c r="I18" i="18" s="1"/>
  <c r="D20" i="18"/>
  <c r="E19" i="18"/>
  <c r="C21" i="16"/>
  <c r="E20" i="16"/>
  <c r="H20" i="16" s="1"/>
  <c r="R20" i="16" s="1"/>
  <c r="U18" i="16"/>
  <c r="S5" i="8"/>
  <c r="K5" i="8"/>
  <c r="S8" i="8"/>
  <c r="K9" i="8"/>
  <c r="K6" i="8"/>
  <c r="S7" i="8"/>
  <c r="M24" i="17"/>
  <c r="N24" i="17" s="1"/>
  <c r="O24" i="17" s="1"/>
  <c r="R24" i="17" s="1"/>
  <c r="C25" i="8" s="1"/>
  <c r="T109" i="16"/>
  <c r="T135" i="16"/>
  <c r="T139" i="16"/>
  <c r="T150" i="16"/>
  <c r="T165" i="16"/>
  <c r="T170" i="16"/>
  <c r="T192" i="16"/>
  <c r="T198" i="16"/>
  <c r="T171" i="16"/>
  <c r="T193" i="16"/>
  <c r="T199" i="16"/>
  <c r="T167" i="16"/>
  <c r="T194" i="16"/>
  <c r="T200" i="16"/>
  <c r="T168" i="16"/>
  <c r="T196" i="16"/>
  <c r="T111" i="16"/>
  <c r="T137" i="16"/>
  <c r="T169" i="16"/>
  <c r="T180" i="16"/>
  <c r="T197" i="16"/>
  <c r="T210" i="16"/>
  <c r="T102" i="16"/>
  <c r="T138" i="16"/>
  <c r="T164" i="16"/>
  <c r="R102" i="16"/>
  <c r="R104" i="16"/>
  <c r="R106" i="16"/>
  <c r="R108" i="16"/>
  <c r="R110" i="16"/>
  <c r="R120" i="16"/>
  <c r="R132" i="16"/>
  <c r="R134" i="16"/>
  <c r="R136" i="16"/>
  <c r="R138" i="16"/>
  <c r="R166" i="16"/>
  <c r="R180" i="16"/>
  <c r="P194" i="16"/>
  <c r="R201" i="16"/>
  <c r="R194" i="16"/>
  <c r="R139" i="16"/>
  <c r="R167" i="16"/>
  <c r="R191" i="16"/>
  <c r="R198" i="16"/>
  <c r="Q101" i="16"/>
  <c r="Q103" i="16"/>
  <c r="Q105" i="16"/>
  <c r="Q107" i="16"/>
  <c r="Q109" i="16"/>
  <c r="Q111" i="16"/>
  <c r="Q131" i="16"/>
  <c r="Q133" i="16"/>
  <c r="Q135" i="16"/>
  <c r="R150" i="16"/>
  <c r="P164" i="16"/>
  <c r="R171" i="16"/>
  <c r="R195" i="16"/>
  <c r="R101" i="16"/>
  <c r="R103" i="16"/>
  <c r="R105" i="16"/>
  <c r="R107" i="16"/>
  <c r="R109" i="16"/>
  <c r="R111" i="16"/>
  <c r="R131" i="16"/>
  <c r="R133" i="16"/>
  <c r="R135" i="16"/>
  <c r="R137" i="16"/>
  <c r="R140" i="16"/>
  <c r="R164" i="16"/>
  <c r="R192" i="16"/>
  <c r="R199" i="16"/>
  <c r="P210" i="16"/>
  <c r="R168" i="16"/>
  <c r="R196" i="16"/>
  <c r="R210" i="16"/>
  <c r="R141" i="16"/>
  <c r="R165" i="16"/>
  <c r="R193" i="16"/>
  <c r="R200" i="16"/>
  <c r="M9" i="17"/>
  <c r="N9" i="17" s="1"/>
  <c r="O9" i="17" s="1"/>
  <c r="R9" i="17" s="1"/>
  <c r="M10" i="17"/>
  <c r="N10" i="17" s="1"/>
  <c r="O10" i="17" s="1"/>
  <c r="R10" i="17" s="1"/>
  <c r="C11" i="8" s="1"/>
  <c r="M11" i="17"/>
  <c r="N11" i="17" s="1"/>
  <c r="O11" i="17" s="1"/>
  <c r="R11" i="17" s="1"/>
  <c r="C12" i="8" s="1"/>
  <c r="M12" i="17"/>
  <c r="N12" i="17" s="1"/>
  <c r="O12" i="17" s="1"/>
  <c r="R12" i="17" s="1"/>
  <c r="C13" i="8" s="1"/>
  <c r="M13" i="17"/>
  <c r="N13" i="17" s="1"/>
  <c r="O13" i="17" s="1"/>
  <c r="R13" i="17" s="1"/>
  <c r="C14" i="8" s="1"/>
  <c r="M14" i="17"/>
  <c r="N14" i="17" s="1"/>
  <c r="O14" i="17" s="1"/>
  <c r="R14" i="17" s="1"/>
  <c r="C15" i="8" s="1"/>
  <c r="M15" i="17"/>
  <c r="N15" i="17" s="1"/>
  <c r="O15" i="17" s="1"/>
  <c r="R15" i="17" s="1"/>
  <c r="C16" i="8" s="1"/>
  <c r="M16" i="17"/>
  <c r="N16" i="17" s="1"/>
  <c r="O16" i="17" s="1"/>
  <c r="R16" i="17" s="1"/>
  <c r="C17" i="8" s="1"/>
  <c r="M17" i="17"/>
  <c r="N17" i="17" s="1"/>
  <c r="O17" i="17" s="1"/>
  <c r="R17" i="17" s="1"/>
  <c r="C18" i="8" s="1"/>
  <c r="M18" i="17"/>
  <c r="N18" i="17" s="1"/>
  <c r="O18" i="17" s="1"/>
  <c r="R18" i="17" s="1"/>
  <c r="C19" i="8" s="1"/>
  <c r="M19" i="17"/>
  <c r="N19" i="17" s="1"/>
  <c r="O19" i="17" s="1"/>
  <c r="R19" i="17" s="1"/>
  <c r="C20" i="8" s="1"/>
  <c r="M20" i="17"/>
  <c r="N20" i="17" s="1"/>
  <c r="O20" i="17" s="1"/>
  <c r="R20" i="17" s="1"/>
  <c r="C21" i="8" s="1"/>
  <c r="M21" i="17"/>
  <c r="N21" i="17" s="1"/>
  <c r="O21" i="17" s="1"/>
  <c r="R21" i="17" s="1"/>
  <c r="C22" i="8" s="1"/>
  <c r="M22" i="17"/>
  <c r="N22" i="17" s="1"/>
  <c r="O22" i="17" s="1"/>
  <c r="R22" i="17" s="1"/>
  <c r="C23" i="8" s="1"/>
  <c r="M23" i="17"/>
  <c r="N23" i="17" s="1"/>
  <c r="O23" i="17" s="1"/>
  <c r="R23" i="17" s="1"/>
  <c r="C24" i="8" s="1"/>
  <c r="M25" i="17"/>
  <c r="N25" i="17" s="1"/>
  <c r="O25" i="17" s="1"/>
  <c r="R25" i="17" s="1"/>
  <c r="C26" i="8" s="1"/>
  <c r="M26" i="17"/>
  <c r="N26" i="17" s="1"/>
  <c r="O26" i="17" s="1"/>
  <c r="R26" i="17" s="1"/>
  <c r="C27" i="8" s="1"/>
  <c r="M27" i="17"/>
  <c r="N27" i="17" s="1"/>
  <c r="O27" i="17" s="1"/>
  <c r="R27" i="17" s="1"/>
  <c r="C28" i="8" s="1"/>
  <c r="M28" i="17"/>
  <c r="N28" i="17" s="1"/>
  <c r="O28" i="17" s="1"/>
  <c r="R28" i="17" s="1"/>
  <c r="C29" i="8" s="1"/>
  <c r="U16" i="16"/>
  <c r="U10" i="16"/>
  <c r="U14" i="16"/>
  <c r="U15" i="16"/>
  <c r="U12" i="16"/>
  <c r="U13" i="16"/>
  <c r="U11" i="16"/>
  <c r="U17" i="16"/>
  <c r="T45" i="16"/>
  <c r="R60" i="16"/>
  <c r="R44" i="16"/>
  <c r="R46" i="16"/>
  <c r="T50" i="16"/>
  <c r="T49" i="16"/>
  <c r="T19" i="16"/>
  <c r="U19" i="16" s="1"/>
  <c r="R29" i="16"/>
  <c r="S29" i="16"/>
  <c r="Q47" i="16"/>
  <c r="S48" i="16"/>
  <c r="Q71" i="16"/>
  <c r="Q72" i="16"/>
  <c r="Q73" i="16"/>
  <c r="Q74" i="16"/>
  <c r="Q75" i="16"/>
  <c r="Q76" i="16"/>
  <c r="Q77" i="16"/>
  <c r="Q78" i="16"/>
  <c r="Q79" i="16"/>
  <c r="Q80" i="16"/>
  <c r="Q90" i="16"/>
  <c r="P162" i="16"/>
  <c r="P170" i="16"/>
  <c r="P196" i="16"/>
  <c r="P199" i="16"/>
  <c r="P195" i="16"/>
  <c r="P191" i="16"/>
  <c r="P169" i="16"/>
  <c r="P165" i="16"/>
  <c r="P161" i="16"/>
  <c r="P139" i="16"/>
  <c r="P137" i="16"/>
  <c r="U137" i="16" s="1"/>
  <c r="P135" i="16"/>
  <c r="U135" i="16" s="1"/>
  <c r="P133" i="16"/>
  <c r="P131" i="16"/>
  <c r="P111" i="16"/>
  <c r="P109" i="16"/>
  <c r="U109" i="16" s="1"/>
  <c r="P107" i="16"/>
  <c r="P105" i="16"/>
  <c r="P103" i="16"/>
  <c r="U103" i="16" s="1"/>
  <c r="P101" i="16"/>
  <c r="P201" i="16"/>
  <c r="P197" i="16"/>
  <c r="P193" i="16"/>
  <c r="P171" i="16"/>
  <c r="P167" i="16"/>
  <c r="P163" i="16"/>
  <c r="P141" i="16"/>
  <c r="P136" i="16"/>
  <c r="U136" i="16" s="1"/>
  <c r="P134" i="16"/>
  <c r="P132" i="16"/>
  <c r="U132" i="16" s="1"/>
  <c r="P120" i="16"/>
  <c r="P110" i="16"/>
  <c r="U110" i="16" s="1"/>
  <c r="P108" i="16"/>
  <c r="U108" i="16" s="1"/>
  <c r="P106" i="16"/>
  <c r="U106" i="16" s="1"/>
  <c r="P104" i="16"/>
  <c r="U104" i="16" s="1"/>
  <c r="P102" i="16"/>
  <c r="R90" i="16"/>
  <c r="R80" i="16"/>
  <c r="R78" i="16"/>
  <c r="R76" i="16"/>
  <c r="R74" i="16"/>
  <c r="R72" i="16"/>
  <c r="R50" i="16"/>
  <c r="R48" i="16"/>
  <c r="R42" i="16"/>
  <c r="R81" i="16"/>
  <c r="R79" i="16"/>
  <c r="R77" i="16"/>
  <c r="R75" i="16"/>
  <c r="R73" i="16"/>
  <c r="R71" i="16"/>
  <c r="R49" i="16"/>
  <c r="R47" i="16"/>
  <c r="R45" i="16"/>
  <c r="R43" i="16"/>
  <c r="R41" i="16"/>
  <c r="T81" i="16"/>
  <c r="T79" i="16"/>
  <c r="T77" i="16"/>
  <c r="T75" i="16"/>
  <c r="T73" i="16"/>
  <c r="T71" i="16"/>
  <c r="T47" i="16"/>
  <c r="T43" i="16"/>
  <c r="T90" i="16"/>
  <c r="T80" i="16"/>
  <c r="T78" i="16"/>
  <c r="T76" i="16"/>
  <c r="T74" i="16"/>
  <c r="T72" i="16"/>
  <c r="T60" i="16"/>
  <c r="T46" i="16"/>
  <c r="T44" i="16"/>
  <c r="T42" i="16"/>
  <c r="T48" i="16"/>
  <c r="T41" i="16"/>
  <c r="Q20" i="16"/>
  <c r="T29" i="16"/>
  <c r="S45" i="16"/>
  <c r="P140" i="16"/>
  <c r="P166" i="16"/>
  <c r="P192" i="16"/>
  <c r="P200" i="16"/>
  <c r="Q201" i="16"/>
  <c r="Q199" i="16"/>
  <c r="Q197" i="16"/>
  <c r="Q195" i="16"/>
  <c r="Q193" i="16"/>
  <c r="Q191" i="16"/>
  <c r="Q171" i="16"/>
  <c r="Q169" i="16"/>
  <c r="Q167" i="16"/>
  <c r="Q165" i="16"/>
  <c r="Q163" i="16"/>
  <c r="Q161" i="16"/>
  <c r="Q141" i="16"/>
  <c r="Q139" i="16"/>
  <c r="Q210" i="16"/>
  <c r="Q200" i="16"/>
  <c r="Q198" i="16"/>
  <c r="Q196" i="16"/>
  <c r="Q194" i="16"/>
  <c r="Q192" i="16"/>
  <c r="Q180" i="16"/>
  <c r="Q170" i="16"/>
  <c r="Q168" i="16"/>
  <c r="Q166" i="16"/>
  <c r="Q164" i="16"/>
  <c r="Q162" i="16"/>
  <c r="Q150" i="16"/>
  <c r="Q140" i="16"/>
  <c r="Q138" i="16"/>
  <c r="S210" i="16"/>
  <c r="S200" i="16"/>
  <c r="S198" i="16"/>
  <c r="S196" i="16"/>
  <c r="S194" i="16"/>
  <c r="S192" i="16"/>
  <c r="S180" i="16"/>
  <c r="S170" i="16"/>
  <c r="S168" i="16"/>
  <c r="S166" i="16"/>
  <c r="S164" i="16"/>
  <c r="S162" i="16"/>
  <c r="S150" i="16"/>
  <c r="S140" i="16"/>
  <c r="S138" i="16"/>
  <c r="S201" i="16"/>
  <c r="S199" i="16"/>
  <c r="S197" i="16"/>
  <c r="S195" i="16"/>
  <c r="S193" i="16"/>
  <c r="S191" i="16"/>
  <c r="S171" i="16"/>
  <c r="S169" i="16"/>
  <c r="S167" i="16"/>
  <c r="S165" i="16"/>
  <c r="S163" i="16"/>
  <c r="S161" i="16"/>
  <c r="S141" i="16"/>
  <c r="S139" i="16"/>
  <c r="AH20" i="7"/>
  <c r="AF20" i="7"/>
  <c r="AF19" i="7"/>
  <c r="AH19" i="7"/>
  <c r="AG20" i="7"/>
  <c r="AE20" i="7"/>
  <c r="AG19" i="7"/>
  <c r="AE19" i="7"/>
  <c r="P18" i="18" l="1"/>
  <c r="E19" i="8" s="1"/>
  <c r="U18" i="8"/>
  <c r="M18" i="8"/>
  <c r="U120" i="16"/>
  <c r="U111" i="16"/>
  <c r="U134" i="16"/>
  <c r="U102" i="16"/>
  <c r="S51" i="16"/>
  <c r="P51" i="16"/>
  <c r="Q51" i="16"/>
  <c r="C53" i="16"/>
  <c r="E52" i="16"/>
  <c r="H52" i="16" s="1"/>
  <c r="U101" i="16"/>
  <c r="C173" i="16"/>
  <c r="E172" i="16"/>
  <c r="H172" i="16" s="1"/>
  <c r="R51" i="16"/>
  <c r="T51" i="16"/>
  <c r="R202" i="16"/>
  <c r="U105" i="16"/>
  <c r="U131" i="16"/>
  <c r="T202" i="16"/>
  <c r="S81" i="16"/>
  <c r="P81" i="16"/>
  <c r="Q202" i="16"/>
  <c r="C204" i="16"/>
  <c r="E203" i="16"/>
  <c r="H203" i="16" s="1"/>
  <c r="S202" i="16"/>
  <c r="U202" i="16" s="1"/>
  <c r="U107" i="16"/>
  <c r="C143" i="16"/>
  <c r="E142" i="16"/>
  <c r="H142" i="16" s="1"/>
  <c r="C83" i="16"/>
  <c r="E82" i="16"/>
  <c r="H82" i="16" s="1"/>
  <c r="D113" i="16"/>
  <c r="E112" i="16"/>
  <c r="H112" i="16" s="1"/>
  <c r="C10" i="8"/>
  <c r="K10" i="8" s="1"/>
  <c r="R29" i="17"/>
  <c r="X32" i="8"/>
  <c r="P32" i="8"/>
  <c r="L19" i="18"/>
  <c r="M19" i="18" s="1"/>
  <c r="H19" i="18"/>
  <c r="I19" i="18" s="1"/>
  <c r="P19" i="18" s="1"/>
  <c r="E20" i="8" s="1"/>
  <c r="D21" i="18"/>
  <c r="E20" i="18"/>
  <c r="U133" i="16"/>
  <c r="T20" i="16"/>
  <c r="P20" i="16"/>
  <c r="S20" i="16"/>
  <c r="C22" i="16"/>
  <c r="E21" i="16"/>
  <c r="H21" i="16" s="1"/>
  <c r="U49" i="16"/>
  <c r="U150" i="16"/>
  <c r="U138" i="16"/>
  <c r="U210" i="16"/>
  <c r="U168" i="16"/>
  <c r="U194" i="16"/>
  <c r="S13" i="8"/>
  <c r="K13" i="8"/>
  <c r="K12" i="8"/>
  <c r="S12" i="8"/>
  <c r="S19" i="8"/>
  <c r="K19" i="8"/>
  <c r="S26" i="8"/>
  <c r="K26" i="8"/>
  <c r="S21" i="8"/>
  <c r="K21" i="8"/>
  <c r="S27" i="8"/>
  <c r="K27" i="8"/>
  <c r="K24" i="8"/>
  <c r="S24" i="8"/>
  <c r="K20" i="8"/>
  <c r="S20" i="8"/>
  <c r="K16" i="8"/>
  <c r="S16" i="8"/>
  <c r="S29" i="8"/>
  <c r="K29" i="8"/>
  <c r="S22" i="8"/>
  <c r="K22" i="8"/>
  <c r="S18" i="8"/>
  <c r="K18" i="8"/>
  <c r="S14" i="8"/>
  <c r="K14" i="8"/>
  <c r="K28" i="8"/>
  <c r="S28" i="8"/>
  <c r="S15" i="8"/>
  <c r="K15" i="8"/>
  <c r="S17" i="8"/>
  <c r="K17" i="8"/>
  <c r="S11" i="8"/>
  <c r="K11" i="8"/>
  <c r="S25" i="8"/>
  <c r="K25" i="8"/>
  <c r="S23" i="8"/>
  <c r="K23" i="8"/>
  <c r="U198" i="16"/>
  <c r="U195" i="16"/>
  <c r="U164" i="16"/>
  <c r="U180" i="16"/>
  <c r="U169" i="16"/>
  <c r="U161" i="16"/>
  <c r="U41" i="16"/>
  <c r="U43" i="16"/>
  <c r="U42" i="16"/>
  <c r="U46" i="16"/>
  <c r="U45" i="16"/>
  <c r="U44" i="16"/>
  <c r="U50" i="16"/>
  <c r="U60" i="16"/>
  <c r="U141" i="16"/>
  <c r="U167" i="16"/>
  <c r="U193" i="16"/>
  <c r="U90" i="16"/>
  <c r="U78" i="16"/>
  <c r="U74" i="16"/>
  <c r="U166" i="16"/>
  <c r="U48" i="16"/>
  <c r="U171" i="16"/>
  <c r="U197" i="16"/>
  <c r="U199" i="16"/>
  <c r="U170" i="16"/>
  <c r="U81" i="16"/>
  <c r="U77" i="16"/>
  <c r="U73" i="16"/>
  <c r="U29" i="16"/>
  <c r="U200" i="16"/>
  <c r="U201" i="16"/>
  <c r="U162" i="16"/>
  <c r="U80" i="16"/>
  <c r="U76" i="16"/>
  <c r="U72" i="16"/>
  <c r="U192" i="16"/>
  <c r="U140" i="16"/>
  <c r="U163" i="16"/>
  <c r="U139" i="16"/>
  <c r="U165" i="16"/>
  <c r="U191" i="16"/>
  <c r="U196" i="16"/>
  <c r="U79" i="16"/>
  <c r="U75" i="16"/>
  <c r="U71" i="16"/>
  <c r="U47" i="16"/>
  <c r="S10" i="8" l="1"/>
  <c r="U20" i="8"/>
  <c r="M20" i="8"/>
  <c r="U19" i="8"/>
  <c r="M19" i="8"/>
  <c r="U51" i="16"/>
  <c r="X16" i="16"/>
  <c r="D16" i="8" s="1"/>
  <c r="T16" i="8" s="1"/>
  <c r="T142" i="16"/>
  <c r="R142" i="16"/>
  <c r="Q142" i="16"/>
  <c r="S142" i="16"/>
  <c r="P142" i="16"/>
  <c r="U142" i="16" s="1"/>
  <c r="C144" i="16"/>
  <c r="E143" i="16"/>
  <c r="H143" i="16" s="1"/>
  <c r="S52" i="16"/>
  <c r="P52" i="16"/>
  <c r="T52" i="16"/>
  <c r="Q52" i="16"/>
  <c r="R52" i="16"/>
  <c r="C54" i="16"/>
  <c r="E53" i="16"/>
  <c r="H53" i="16" s="1"/>
  <c r="S112" i="16"/>
  <c r="Q112" i="16"/>
  <c r="P112" i="16"/>
  <c r="T112" i="16"/>
  <c r="R112" i="16"/>
  <c r="P203" i="16"/>
  <c r="Q203" i="16"/>
  <c r="S203" i="16"/>
  <c r="T203" i="16"/>
  <c r="R203" i="16"/>
  <c r="C174" i="16"/>
  <c r="E173" i="16"/>
  <c r="H173" i="16" s="1"/>
  <c r="D114" i="16"/>
  <c r="E113" i="16"/>
  <c r="H113" i="16" s="1"/>
  <c r="C205" i="16"/>
  <c r="E204" i="16"/>
  <c r="H204" i="16" s="1"/>
  <c r="S82" i="16"/>
  <c r="P82" i="16"/>
  <c r="U82" i="16" s="1"/>
  <c r="T82" i="16"/>
  <c r="R82" i="16"/>
  <c r="Q82" i="16"/>
  <c r="C84" i="16"/>
  <c r="E83" i="16"/>
  <c r="H83" i="16" s="1"/>
  <c r="P172" i="16"/>
  <c r="T172" i="16"/>
  <c r="Q172" i="16"/>
  <c r="R172" i="16"/>
  <c r="S172" i="16"/>
  <c r="D22" i="18"/>
  <c r="E21" i="18"/>
  <c r="L20" i="18"/>
  <c r="M20" i="18" s="1"/>
  <c r="H20" i="18"/>
  <c r="I20" i="18" s="1"/>
  <c r="P20" i="18" s="1"/>
  <c r="E21" i="8" s="1"/>
  <c r="X18" i="16"/>
  <c r="D18" i="8" s="1"/>
  <c r="L18" i="8" s="1"/>
  <c r="U20" i="16"/>
  <c r="P21" i="16"/>
  <c r="Q21" i="16"/>
  <c r="T21" i="16"/>
  <c r="R21" i="16"/>
  <c r="S21" i="16"/>
  <c r="C23" i="16"/>
  <c r="E22" i="16"/>
  <c r="H22" i="16" s="1"/>
  <c r="X20" i="16"/>
  <c r="D20" i="8" s="1"/>
  <c r="X12" i="16"/>
  <c r="D12" i="8" s="1"/>
  <c r="X17" i="16"/>
  <c r="D17" i="8" s="1"/>
  <c r="X19" i="16"/>
  <c r="D19" i="8" s="1"/>
  <c r="X13" i="16"/>
  <c r="D13" i="8" s="1"/>
  <c r="X14" i="16"/>
  <c r="D14" i="8" s="1"/>
  <c r="X15" i="16"/>
  <c r="D15" i="8" s="1"/>
  <c r="X11" i="16"/>
  <c r="D11" i="8" s="1"/>
  <c r="X29" i="16"/>
  <c r="D29" i="8" s="1"/>
  <c r="X10" i="16"/>
  <c r="L16" i="8" l="1"/>
  <c r="U21" i="8"/>
  <c r="M21" i="8"/>
  <c r="S143" i="16"/>
  <c r="T143" i="16"/>
  <c r="R143" i="16"/>
  <c r="P143" i="16"/>
  <c r="U143" i="16" s="1"/>
  <c r="Q143" i="16"/>
  <c r="U172" i="16"/>
  <c r="R204" i="16"/>
  <c r="S204" i="16"/>
  <c r="P204" i="16"/>
  <c r="T204" i="16"/>
  <c r="Q204" i="16"/>
  <c r="Q53" i="16"/>
  <c r="R53" i="16"/>
  <c r="S53" i="16"/>
  <c r="T53" i="16"/>
  <c r="P53" i="16"/>
  <c r="C145" i="16"/>
  <c r="E144" i="16"/>
  <c r="H144" i="16" s="1"/>
  <c r="S83" i="16"/>
  <c r="P83" i="16"/>
  <c r="R83" i="16"/>
  <c r="T83" i="16"/>
  <c r="Q83" i="16"/>
  <c r="C206" i="16"/>
  <c r="E205" i="16"/>
  <c r="H205" i="16" s="1"/>
  <c r="C55" i="16"/>
  <c r="E54" i="16"/>
  <c r="H54" i="16" s="1"/>
  <c r="C85" i="16"/>
  <c r="E84" i="16"/>
  <c r="H84" i="16" s="1"/>
  <c r="T113" i="16"/>
  <c r="S113" i="16"/>
  <c r="R113" i="16"/>
  <c r="Q113" i="16"/>
  <c r="P113" i="16"/>
  <c r="U203" i="16"/>
  <c r="D10" i="8"/>
  <c r="D115" i="16"/>
  <c r="E114" i="16"/>
  <c r="H114" i="16" s="1"/>
  <c r="R173" i="16"/>
  <c r="S173" i="16"/>
  <c r="T173" i="16"/>
  <c r="P173" i="16"/>
  <c r="Q173" i="16"/>
  <c r="C175" i="16"/>
  <c r="E174" i="16"/>
  <c r="H174" i="16" s="1"/>
  <c r="U112" i="16"/>
  <c r="U52" i="16"/>
  <c r="T18" i="8"/>
  <c r="L21" i="18"/>
  <c r="M21" i="18" s="1"/>
  <c r="H21" i="18"/>
  <c r="I21" i="18" s="1"/>
  <c r="P21" i="18" s="1"/>
  <c r="E22" i="8" s="1"/>
  <c r="D23" i="18"/>
  <c r="E22" i="18"/>
  <c r="L19" i="8"/>
  <c r="T19" i="8"/>
  <c r="L20" i="8"/>
  <c r="T20" i="8"/>
  <c r="L12" i="8"/>
  <c r="T12" i="8"/>
  <c r="L15" i="8"/>
  <c r="T15" i="8"/>
  <c r="T17" i="8"/>
  <c r="L17" i="8"/>
  <c r="T14" i="8"/>
  <c r="L14" i="8"/>
  <c r="T13" i="8"/>
  <c r="L13" i="8"/>
  <c r="L11" i="8"/>
  <c r="T11" i="8"/>
  <c r="L29" i="8"/>
  <c r="T29" i="8"/>
  <c r="T22" i="16"/>
  <c r="P22" i="16"/>
  <c r="S22" i="16"/>
  <c r="Q22" i="16"/>
  <c r="R22" i="16"/>
  <c r="C24" i="16"/>
  <c r="E23" i="16"/>
  <c r="H23" i="16" s="1"/>
  <c r="U21" i="16"/>
  <c r="T10" i="8" l="1"/>
  <c r="L10" i="8"/>
  <c r="U22" i="8"/>
  <c r="M22" i="8"/>
  <c r="U53" i="16"/>
  <c r="U22" i="16"/>
  <c r="U83" i="16"/>
  <c r="S114" i="16"/>
  <c r="Q114" i="16"/>
  <c r="T114" i="16"/>
  <c r="R114" i="16"/>
  <c r="P114" i="16"/>
  <c r="T174" i="16"/>
  <c r="S174" i="16"/>
  <c r="R174" i="16"/>
  <c r="P174" i="16"/>
  <c r="Q174" i="16"/>
  <c r="D116" i="16"/>
  <c r="E115" i="16"/>
  <c r="H115" i="16" s="1"/>
  <c r="S84" i="16"/>
  <c r="P84" i="16"/>
  <c r="T84" i="16"/>
  <c r="R84" i="16"/>
  <c r="Q84" i="16"/>
  <c r="C86" i="16"/>
  <c r="E85" i="16"/>
  <c r="H85" i="16" s="1"/>
  <c r="C207" i="16"/>
  <c r="E206" i="16"/>
  <c r="H206" i="16" s="1"/>
  <c r="U173" i="16"/>
  <c r="S54" i="16"/>
  <c r="T54" i="16"/>
  <c r="R54" i="16"/>
  <c r="P54" i="16"/>
  <c r="Q54" i="16"/>
  <c r="U113" i="16"/>
  <c r="C56" i="16"/>
  <c r="E55" i="16"/>
  <c r="H55" i="16" s="1"/>
  <c r="R144" i="16"/>
  <c r="Q144" i="16"/>
  <c r="S144" i="16"/>
  <c r="P144" i="16"/>
  <c r="T144" i="16"/>
  <c r="X22" i="16"/>
  <c r="D22" i="8" s="1"/>
  <c r="T22" i="8" s="1"/>
  <c r="C176" i="16"/>
  <c r="E175" i="16"/>
  <c r="H175" i="16" s="1"/>
  <c r="X21" i="16"/>
  <c r="T205" i="16"/>
  <c r="R205" i="16"/>
  <c r="Q205" i="16"/>
  <c r="S205" i="16"/>
  <c r="P205" i="16"/>
  <c r="U205" i="16" s="1"/>
  <c r="C146" i="16"/>
  <c r="E145" i="16"/>
  <c r="H145" i="16" s="1"/>
  <c r="U204" i="16"/>
  <c r="D24" i="18"/>
  <c r="E23" i="18"/>
  <c r="L22" i="18"/>
  <c r="M22" i="18" s="1"/>
  <c r="H22" i="18"/>
  <c r="I22" i="18" s="1"/>
  <c r="Q23" i="16"/>
  <c r="S23" i="16"/>
  <c r="P23" i="16"/>
  <c r="T23" i="16"/>
  <c r="R23" i="16"/>
  <c r="C25" i="16"/>
  <c r="E24" i="16"/>
  <c r="H24" i="16" s="1"/>
  <c r="P22" i="18" l="1"/>
  <c r="E23" i="8" s="1"/>
  <c r="L22" i="8"/>
  <c r="U144" i="16"/>
  <c r="U84" i="16"/>
  <c r="D21" i="8"/>
  <c r="T145" i="16"/>
  <c r="R145" i="16"/>
  <c r="S145" i="16"/>
  <c r="P145" i="16"/>
  <c r="Q145" i="16"/>
  <c r="P175" i="16"/>
  <c r="Q175" i="16"/>
  <c r="S175" i="16"/>
  <c r="T175" i="16"/>
  <c r="R175" i="16"/>
  <c r="Q55" i="16"/>
  <c r="R55" i="16"/>
  <c r="T55" i="16"/>
  <c r="S55" i="16"/>
  <c r="P55" i="16"/>
  <c r="C147" i="16"/>
  <c r="E146" i="16"/>
  <c r="H146" i="16" s="1"/>
  <c r="C177" i="16"/>
  <c r="E176" i="16"/>
  <c r="H176" i="16" s="1"/>
  <c r="C57" i="16"/>
  <c r="E56" i="16"/>
  <c r="H56" i="16" s="1"/>
  <c r="R206" i="16"/>
  <c r="S206" i="16"/>
  <c r="P206" i="16"/>
  <c r="Q206" i="16"/>
  <c r="T206" i="16"/>
  <c r="U114" i="16"/>
  <c r="C208" i="16"/>
  <c r="E207" i="16"/>
  <c r="H207" i="16" s="1"/>
  <c r="S115" i="16"/>
  <c r="T115" i="16"/>
  <c r="Q115" i="16"/>
  <c r="R115" i="16"/>
  <c r="P115" i="16"/>
  <c r="S85" i="16"/>
  <c r="P85" i="16"/>
  <c r="T85" i="16"/>
  <c r="Q85" i="16"/>
  <c r="R85" i="16"/>
  <c r="D117" i="16"/>
  <c r="E116" i="16"/>
  <c r="H116" i="16" s="1"/>
  <c r="U54" i="16"/>
  <c r="C87" i="16"/>
  <c r="E86" i="16"/>
  <c r="H86" i="16" s="1"/>
  <c r="U174" i="16"/>
  <c r="L23" i="18"/>
  <c r="M23" i="18" s="1"/>
  <c r="H23" i="18"/>
  <c r="I23" i="18" s="1"/>
  <c r="P23" i="18" s="1"/>
  <c r="E24" i="8" s="1"/>
  <c r="D25" i="18"/>
  <c r="E24" i="18"/>
  <c r="P24" i="16"/>
  <c r="T24" i="16"/>
  <c r="R24" i="16"/>
  <c r="S24" i="16"/>
  <c r="Q24" i="16"/>
  <c r="C26" i="16"/>
  <c r="E25" i="16"/>
  <c r="H25" i="16" s="1"/>
  <c r="U23" i="16"/>
  <c r="U24" i="8" l="1"/>
  <c r="M24" i="8"/>
  <c r="U23" i="8"/>
  <c r="M23" i="8"/>
  <c r="U175" i="16"/>
  <c r="S56" i="16"/>
  <c r="P56" i="16"/>
  <c r="Q56" i="16"/>
  <c r="R56" i="16"/>
  <c r="T56" i="16"/>
  <c r="C209" i="16"/>
  <c r="E209" i="16" s="1"/>
  <c r="H209" i="16" s="1"/>
  <c r="E208" i="16"/>
  <c r="H208" i="16" s="1"/>
  <c r="U145" i="16"/>
  <c r="S86" i="16"/>
  <c r="P86" i="16"/>
  <c r="R86" i="16"/>
  <c r="Q86" i="16"/>
  <c r="T86" i="16"/>
  <c r="C88" i="16"/>
  <c r="E87" i="16"/>
  <c r="H87" i="16" s="1"/>
  <c r="R176" i="16"/>
  <c r="P176" i="16"/>
  <c r="S176" i="16"/>
  <c r="Q176" i="16"/>
  <c r="T176" i="16"/>
  <c r="T207" i="16"/>
  <c r="Q207" i="16"/>
  <c r="S207" i="16"/>
  <c r="P207" i="16"/>
  <c r="R207" i="16"/>
  <c r="U85" i="16"/>
  <c r="U115" i="16"/>
  <c r="C178" i="16"/>
  <c r="E177" i="16"/>
  <c r="H177" i="16" s="1"/>
  <c r="X23" i="16"/>
  <c r="T116" i="16"/>
  <c r="S116" i="16"/>
  <c r="Q116" i="16"/>
  <c r="P116" i="16"/>
  <c r="R116" i="16"/>
  <c r="T146" i="16"/>
  <c r="P146" i="16"/>
  <c r="Q146" i="16"/>
  <c r="R146" i="16"/>
  <c r="S146" i="16"/>
  <c r="C58" i="16"/>
  <c r="E57" i="16"/>
  <c r="H57" i="16" s="1"/>
  <c r="D118" i="16"/>
  <c r="E117" i="16"/>
  <c r="H117" i="16" s="1"/>
  <c r="U206" i="16"/>
  <c r="C148" i="16"/>
  <c r="E147" i="16"/>
  <c r="H147" i="16" s="1"/>
  <c r="U55" i="16"/>
  <c r="T21" i="8"/>
  <c r="L21" i="8"/>
  <c r="D26" i="18"/>
  <c r="E25" i="18"/>
  <c r="L24" i="18"/>
  <c r="M24" i="18" s="1"/>
  <c r="H24" i="18"/>
  <c r="I24" i="18" s="1"/>
  <c r="P24" i="18" s="1"/>
  <c r="E25" i="8" s="1"/>
  <c r="Q25" i="16"/>
  <c r="R25" i="16"/>
  <c r="S25" i="16"/>
  <c r="P25" i="16"/>
  <c r="T25" i="16"/>
  <c r="U24" i="16"/>
  <c r="X24" i="16" s="1"/>
  <c r="D24" i="8" s="1"/>
  <c r="C27" i="16"/>
  <c r="E26" i="16"/>
  <c r="H26" i="16" s="1"/>
  <c r="U25" i="8" l="1"/>
  <c r="M25" i="8"/>
  <c r="U207" i="16"/>
  <c r="T147" i="16"/>
  <c r="S147" i="16"/>
  <c r="R147" i="16"/>
  <c r="P147" i="16"/>
  <c r="Q147" i="16"/>
  <c r="S87" i="16"/>
  <c r="P87" i="16"/>
  <c r="U87" i="16" s="1"/>
  <c r="Q87" i="16"/>
  <c r="T87" i="16"/>
  <c r="R87" i="16"/>
  <c r="S208" i="16"/>
  <c r="T208" i="16"/>
  <c r="Q208" i="16"/>
  <c r="R208" i="16"/>
  <c r="P208" i="16"/>
  <c r="C149" i="16"/>
  <c r="E149" i="16" s="1"/>
  <c r="H149" i="16" s="1"/>
  <c r="E148" i="16"/>
  <c r="H148" i="16" s="1"/>
  <c r="D23" i="8"/>
  <c r="C89" i="16"/>
  <c r="E89" i="16" s="1"/>
  <c r="H89" i="16" s="1"/>
  <c r="E88" i="16"/>
  <c r="H88" i="16" s="1"/>
  <c r="Q209" i="16"/>
  <c r="S209" i="16"/>
  <c r="T209" i="16"/>
  <c r="R209" i="16"/>
  <c r="P209" i="16"/>
  <c r="U146" i="16"/>
  <c r="T177" i="16"/>
  <c r="P177" i="16"/>
  <c r="Q177" i="16"/>
  <c r="S177" i="16"/>
  <c r="R177" i="16"/>
  <c r="U25" i="16"/>
  <c r="T117" i="16"/>
  <c r="S117" i="16"/>
  <c r="Q117" i="16"/>
  <c r="P117" i="16"/>
  <c r="R117" i="16"/>
  <c r="C179" i="16"/>
  <c r="E179" i="16" s="1"/>
  <c r="H179" i="16" s="1"/>
  <c r="E178" i="16"/>
  <c r="H178" i="16" s="1"/>
  <c r="D119" i="16"/>
  <c r="E119" i="16" s="1"/>
  <c r="H119" i="16" s="1"/>
  <c r="E118" i="16"/>
  <c r="H118" i="16" s="1"/>
  <c r="Q57" i="16"/>
  <c r="S57" i="16"/>
  <c r="T57" i="16"/>
  <c r="P57" i="16"/>
  <c r="R57" i="16"/>
  <c r="U116" i="16"/>
  <c r="U86" i="16"/>
  <c r="U56" i="16"/>
  <c r="C59" i="16"/>
  <c r="E59" i="16" s="1"/>
  <c r="H59" i="16" s="1"/>
  <c r="E58" i="16"/>
  <c r="H58" i="16" s="1"/>
  <c r="U176" i="16"/>
  <c r="L25" i="18"/>
  <c r="M25" i="18" s="1"/>
  <c r="H25" i="18"/>
  <c r="I25" i="18" s="1"/>
  <c r="D27" i="18"/>
  <c r="E27" i="18" s="1"/>
  <c r="E26" i="18"/>
  <c r="L24" i="8"/>
  <c r="T24" i="8"/>
  <c r="T26" i="16"/>
  <c r="P26" i="16"/>
  <c r="Q26" i="16"/>
  <c r="R26" i="16"/>
  <c r="S26" i="16"/>
  <c r="C28" i="16"/>
  <c r="E28" i="16" s="1"/>
  <c r="H28" i="16" s="1"/>
  <c r="E27" i="16"/>
  <c r="H27" i="16" s="1"/>
  <c r="P25" i="18" l="1"/>
  <c r="E26" i="8" s="1"/>
  <c r="U147" i="16"/>
  <c r="T179" i="16"/>
  <c r="P179" i="16"/>
  <c r="Q179" i="16"/>
  <c r="S179" i="16"/>
  <c r="R179" i="16"/>
  <c r="U208" i="16"/>
  <c r="U57" i="16"/>
  <c r="U117" i="16"/>
  <c r="U177" i="16"/>
  <c r="S88" i="16"/>
  <c r="P88" i="16"/>
  <c r="Q88" i="16"/>
  <c r="R88" i="16"/>
  <c r="T88" i="16"/>
  <c r="S89" i="16"/>
  <c r="P89" i="16"/>
  <c r="Q89" i="16"/>
  <c r="T89" i="16"/>
  <c r="R89" i="16"/>
  <c r="Q58" i="16"/>
  <c r="P58" i="16"/>
  <c r="R58" i="16"/>
  <c r="T58" i="16"/>
  <c r="S58" i="16"/>
  <c r="S59" i="16"/>
  <c r="T59" i="16"/>
  <c r="R59" i="16"/>
  <c r="P59" i="16"/>
  <c r="Q59" i="16"/>
  <c r="S118" i="16"/>
  <c r="Q118" i="16"/>
  <c r="T118" i="16"/>
  <c r="P118" i="16"/>
  <c r="R118" i="16"/>
  <c r="U209" i="16"/>
  <c r="L23" i="8"/>
  <c r="T23" i="8"/>
  <c r="X25" i="16"/>
  <c r="D25" i="8" s="1"/>
  <c r="R148" i="16"/>
  <c r="Q148" i="16"/>
  <c r="P148" i="16"/>
  <c r="S148" i="16"/>
  <c r="T148" i="16"/>
  <c r="T119" i="16"/>
  <c r="S119" i="16"/>
  <c r="Q119" i="16"/>
  <c r="P119" i="16"/>
  <c r="R119" i="16"/>
  <c r="T178" i="16"/>
  <c r="R178" i="16"/>
  <c r="S178" i="16"/>
  <c r="P178" i="16"/>
  <c r="Q178" i="16"/>
  <c r="T149" i="16"/>
  <c r="P149" i="16"/>
  <c r="S149" i="16"/>
  <c r="R149" i="16"/>
  <c r="Q149" i="16"/>
  <c r="L26" i="18"/>
  <c r="M26" i="18" s="1"/>
  <c r="H26" i="18"/>
  <c r="I26" i="18" s="1"/>
  <c r="P26" i="18" s="1"/>
  <c r="E27" i="8" s="1"/>
  <c r="L27" i="18"/>
  <c r="M27" i="18" s="1"/>
  <c r="H27" i="18"/>
  <c r="I27" i="18" s="1"/>
  <c r="U26" i="16"/>
  <c r="X26" i="16" s="1"/>
  <c r="D26" i="8" s="1"/>
  <c r="T28" i="16"/>
  <c r="P28" i="16"/>
  <c r="R28" i="16"/>
  <c r="S28" i="16"/>
  <c r="Q28" i="16"/>
  <c r="Q27" i="16"/>
  <c r="T27" i="16"/>
  <c r="R27" i="16"/>
  <c r="S27" i="16"/>
  <c r="P27" i="16"/>
  <c r="U27" i="8" l="1"/>
  <c r="M27" i="8"/>
  <c r="P27" i="18"/>
  <c r="M26" i="8"/>
  <c r="U26" i="8"/>
  <c r="U178" i="16"/>
  <c r="U89" i="16"/>
  <c r="U119" i="16"/>
  <c r="L25" i="8"/>
  <c r="T25" i="8"/>
  <c r="U58" i="16"/>
  <c r="U59" i="16"/>
  <c r="U88" i="16"/>
  <c r="U179" i="16"/>
  <c r="U149" i="16"/>
  <c r="U148" i="16"/>
  <c r="U118" i="16"/>
  <c r="T26" i="8"/>
  <c r="L26" i="8"/>
  <c r="U27" i="16"/>
  <c r="X27" i="16" s="1"/>
  <c r="D27" i="8" s="1"/>
  <c r="U28" i="16"/>
  <c r="E28" i="8" l="1"/>
  <c r="P29" i="18"/>
  <c r="X28" i="16"/>
  <c r="L27" i="8"/>
  <c r="T27" i="8"/>
  <c r="U28" i="8" l="1"/>
  <c r="M28" i="8"/>
  <c r="D28" i="8"/>
  <c r="H31" i="8" s="1"/>
  <c r="X30" i="16"/>
  <c r="L28" i="8" l="1"/>
  <c r="T28" i="8"/>
  <c r="X31" i="8" l="1"/>
  <c r="X36" i="8" s="1"/>
  <c r="P31" i="8"/>
  <c r="P34" i="8" s="1"/>
  <c r="H34" i="8"/>
  <c r="H36" i="8"/>
  <c r="X34" i="8" l="1"/>
  <c r="P36" i="8"/>
</calcChain>
</file>

<file path=xl/sharedStrings.xml><?xml version="1.0" encoding="utf-8"?>
<sst xmlns="http://schemas.openxmlformats.org/spreadsheetml/2006/main" count="762" uniqueCount="310">
  <si>
    <t>Preliminary Engineering</t>
  </si>
  <si>
    <t>Construction</t>
  </si>
  <si>
    <t>Undiscounted Benefit-Cost Ratio</t>
  </si>
  <si>
    <t>Truck Percent</t>
  </si>
  <si>
    <t>–</t>
  </si>
  <si>
    <t>Year of Expenditure</t>
  </si>
  <si>
    <t>Calendar Year</t>
  </si>
  <si>
    <t>Capital Costs</t>
  </si>
  <si>
    <t>Sum of Undiscounted Benefits</t>
  </si>
  <si>
    <t>Sum of Undiscounted Costs</t>
  </si>
  <si>
    <t>Undiscounted Net Present Value</t>
  </si>
  <si>
    <t>Net Present Value at 7% Discount</t>
  </si>
  <si>
    <t>Benefit-Cost Ratio at 7% Discount</t>
  </si>
  <si>
    <t>Net Present Value at 3% Discount</t>
  </si>
  <si>
    <t>Benefit-Cost Ratio at 3% Discount</t>
  </si>
  <si>
    <t>Sum of Benefits at 7% Discount</t>
  </si>
  <si>
    <t>Sum of Costs at 7% Discount</t>
  </si>
  <si>
    <t>Sum of Benefits at 3% Discount</t>
  </si>
  <si>
    <t>Sum of Costs at 3% Discount</t>
  </si>
  <si>
    <t>Year</t>
  </si>
  <si>
    <t>Safety Improvements</t>
  </si>
  <si>
    <t>K</t>
  </si>
  <si>
    <t>A</t>
  </si>
  <si>
    <t>B</t>
  </si>
  <si>
    <t>C</t>
  </si>
  <si>
    <t>O</t>
  </si>
  <si>
    <t>Unknown Severity</t>
  </si>
  <si>
    <t>Average Number of Vehicles Involved in PDO Crashes</t>
  </si>
  <si>
    <t>Base Value</t>
  </si>
  <si>
    <t>Added Value Accounting for Number of Vehicles Involved in PDO Crashes</t>
  </si>
  <si>
    <t>Total Value Based on Crash Severity</t>
  </si>
  <si>
    <t>Average Number of Fatalities per Fatal Crash</t>
  </si>
  <si>
    <t>Added Value Accounting for Average Number of Fatalities per Fatal Crash</t>
  </si>
  <si>
    <t>Added Value Accounting for Average Number of Injuries of Unknown Severity per Crash</t>
  </si>
  <si>
    <t>Average Number of Severity Unknown Injuries per Crash</t>
  </si>
  <si>
    <r>
      <rPr>
        <i/>
        <sz val="11"/>
        <color theme="1"/>
        <rFont val="Arial Narrow"/>
        <family val="2"/>
      </rPr>
      <t>Added Values</t>
    </r>
    <r>
      <rPr>
        <sz val="11"/>
        <color theme="1"/>
        <rFont val="Arial Narrow"/>
        <family val="2"/>
      </rPr>
      <t xml:space="preserve"> derived from supplemental crash data from </t>
    </r>
    <r>
      <rPr>
        <b/>
        <sz val="11"/>
        <color theme="1"/>
        <rFont val="Arial Narrow"/>
        <family val="2"/>
      </rPr>
      <t>Table 7</t>
    </r>
    <r>
      <rPr>
        <sz val="11"/>
        <color theme="1"/>
        <rFont val="Arial Narrow"/>
        <family val="2"/>
      </rPr>
      <t>.</t>
    </r>
  </si>
  <si>
    <t>KABCO Level</t>
  </si>
  <si>
    <t>Construction Inspection</t>
  </si>
  <si>
    <t>Right-of-Way and Utilities</t>
  </si>
  <si>
    <t>Activity</t>
  </si>
  <si>
    <t>Right-of-Way Acquisition</t>
  </si>
  <si>
    <t>Utilities</t>
  </si>
  <si>
    <t>Inspection</t>
  </si>
  <si>
    <t>Cost</t>
  </si>
  <si>
    <t>Total</t>
  </si>
  <si>
    <t>The proposed facility is expected to be a jointed plain concrete pavement.  Within the 20-year horizon of this analysis, maintenance is expected to consist of joint rehab, patching and grinding, to be performed 15 years after opening.</t>
  </si>
  <si>
    <t>Travel Time Savings</t>
  </si>
  <si>
    <t>Difference</t>
  </si>
  <si>
    <t>Truck VHT Difference</t>
  </si>
  <si>
    <t>Truck Occupancy</t>
  </si>
  <si>
    <t>Passenger Vehicle VHT Difference</t>
  </si>
  <si>
    <t>Passenger Vehicle Occupancy VHT Difference</t>
  </si>
  <si>
    <t>Truck Occupancy VHT Difference</t>
  </si>
  <si>
    <t>Passenger Vehicle Savings</t>
  </si>
  <si>
    <t>Truck Savings</t>
  </si>
  <si>
    <t>Passenger Vehicle Occupancy</t>
  </si>
  <si>
    <t>Parameter</t>
  </si>
  <si>
    <t>Value</t>
  </si>
  <si>
    <t>Vehicle Operating Costs</t>
  </si>
  <si>
    <t>Benefits</t>
  </si>
  <si>
    <t>Project Development and Construction Phases</t>
  </si>
  <si>
    <t>Crash Rates – Rural, 2-Lanes, Undivided, No Control of Access Crash Rates</t>
  </si>
  <si>
    <t>Crash Rates – Rural, 4-Lanes, Divided, Full Control of Access</t>
  </si>
  <si>
    <t>Crash Rates – Rural, 2-Lanes, Unddivided, Full Control of Access</t>
  </si>
  <si>
    <t>Safety Countermeasure</t>
  </si>
  <si>
    <t>CMF</t>
  </si>
  <si>
    <t>Crash Types</t>
  </si>
  <si>
    <t>Severity</t>
  </si>
  <si>
    <t>Facility Type</t>
  </si>
  <si>
    <t>Source</t>
  </si>
  <si>
    <t>All</t>
  </si>
  <si>
    <t>Control of Access</t>
  </si>
  <si>
    <t>Rural, 2-Lane</t>
  </si>
  <si>
    <t>None</t>
  </si>
  <si>
    <t>Crash Rates – Urban, 4-Lanes, Undivided, No Control of Access</t>
  </si>
  <si>
    <t>Crash Rates – Urban, 2-Lanes, Undivided, No Control of Access</t>
  </si>
  <si>
    <t>Crash Rates – Urban, 4-Lanes, Divided, No Control of Access</t>
  </si>
  <si>
    <t>Crash Rates – Urban, 4-Lanes, Divided, Full Control of Access</t>
  </si>
  <si>
    <t>Savings in Crash Costs by KABCO Level</t>
  </si>
  <si>
    <t>Difference in VMT (millions)</t>
  </si>
  <si>
    <t>Subtotal Safety Benefits</t>
  </si>
  <si>
    <t>Statewide Average Crash Rates</t>
  </si>
  <si>
    <t>Begin</t>
  </si>
  <si>
    <t>Hwy 5</t>
  </si>
  <si>
    <t>Fox Pass Cutoff</t>
  </si>
  <si>
    <t>Hwy 7S (Gorge Road)</t>
  </si>
  <si>
    <t>Pullman Avenue</t>
  </si>
  <si>
    <t>Whittington Avenue</t>
  </si>
  <si>
    <t>Fountain Street</t>
  </si>
  <si>
    <t>Court Street</t>
  </si>
  <si>
    <t>Spring Street</t>
  </si>
  <si>
    <t>Market Street</t>
  </si>
  <si>
    <t>Orange Street</t>
  </si>
  <si>
    <t>Hwy 270B (Grand Avenue)</t>
  </si>
  <si>
    <t>Maurice Street</t>
  </si>
  <si>
    <t>Belding Street</t>
  </si>
  <si>
    <t>Highway 88 (Higdon Ferry Road)</t>
  </si>
  <si>
    <t>Vineyard Street</t>
  </si>
  <si>
    <t>Crawford Street</t>
  </si>
  <si>
    <t>Hwy 7</t>
  </si>
  <si>
    <t>Sleepy Valley Road</t>
  </si>
  <si>
    <t>Hwy 88 (Central Avenue)</t>
  </si>
  <si>
    <t>Hwy 70/270 Bypass</t>
  </si>
  <si>
    <t>Westinghouse Drive</t>
  </si>
  <si>
    <t>Mill Creek Road</t>
  </si>
  <si>
    <t>Hwy 270 Bypass</t>
  </si>
  <si>
    <t>Mission Street</t>
  </si>
  <si>
    <t>Hwy 70 B (Airport Road)</t>
  </si>
  <si>
    <t>Wynn Street</t>
  </si>
  <si>
    <t>Richard Street</t>
  </si>
  <si>
    <t>Patterson Street</t>
  </si>
  <si>
    <t>3rd Street</t>
  </si>
  <si>
    <t>Hwy 7 (Central Avenue)</t>
  </si>
  <si>
    <t>Broadway Street</t>
  </si>
  <si>
    <t>Valley Road</t>
  </si>
  <si>
    <t>Malvern Avenue</t>
  </si>
  <si>
    <t xml:space="preserve">Convention Boulevard </t>
  </si>
  <si>
    <t>Crescent Avenue</t>
  </si>
  <si>
    <t>Hollywood Avenue</t>
  </si>
  <si>
    <t>Hwy 128 (Carpenter Dam Road)</t>
  </si>
  <si>
    <t>St. Louis Street</t>
  </si>
  <si>
    <t>Hwy 270B (Malvern Avenue)</t>
  </si>
  <si>
    <t>Hwy 70B (Grand Avenue)</t>
  </si>
  <si>
    <t>Hwy 7 (Higdon Ferry Road)</t>
  </si>
  <si>
    <t>McLeod Street</t>
  </si>
  <si>
    <t>Hwy 70B (Airport Road)</t>
  </si>
  <si>
    <t>End</t>
  </si>
  <si>
    <t>Hwy 70B</t>
  </si>
  <si>
    <t>Hwy 7S</t>
  </si>
  <si>
    <t>Summer Street</t>
  </si>
  <si>
    <t>Convention Boulevard</t>
  </si>
  <si>
    <t>St Louis Street</t>
  </si>
  <si>
    <t>Hwy 270B (Albert Pike Road)</t>
  </si>
  <si>
    <t>Length</t>
  </si>
  <si>
    <t>Posted Speed</t>
  </si>
  <si>
    <t>Area Type</t>
  </si>
  <si>
    <t>Rural</t>
  </si>
  <si>
    <t>Urban</t>
  </si>
  <si>
    <t>Route</t>
  </si>
  <si>
    <t>Hwy 88 (Higdon Ferry Road)</t>
  </si>
  <si>
    <t>Hwy 70 Bypass</t>
  </si>
  <si>
    <t>Hot Springs EW Arterial</t>
  </si>
  <si>
    <t>2010 AADT</t>
  </si>
  <si>
    <t>2016 AADT</t>
  </si>
  <si>
    <t>ARTDM Segment</t>
  </si>
  <si>
    <t>2010 ARTDM No Build AADT</t>
  </si>
  <si>
    <t>2040 ARTDM No Build AADT</t>
  </si>
  <si>
    <t>ARTDM No Build Growth Rate</t>
  </si>
  <si>
    <t>2L, Und, NoCoA</t>
  </si>
  <si>
    <t>25166, 304297</t>
  </si>
  <si>
    <t>4L, Und, NoCoA</t>
  </si>
  <si>
    <t>25160, 304295</t>
  </si>
  <si>
    <t>25165, 304349</t>
  </si>
  <si>
    <t>4L, Div, NoCoA</t>
  </si>
  <si>
    <t>4L, Div, FCoA</t>
  </si>
  <si>
    <t>25517, 25516</t>
  </si>
  <si>
    <t>25420, 24955</t>
  </si>
  <si>
    <t>24980, 24978</t>
  </si>
  <si>
    <t>Ave(24350, 24372)+Ave(24306, (24355+24356))</t>
  </si>
  <si>
    <t>25034, 25035</t>
  </si>
  <si>
    <t>25049, 25047</t>
  </si>
  <si>
    <t>25063, 25062</t>
  </si>
  <si>
    <t>25065, 25056</t>
  </si>
  <si>
    <t>25243, 25244</t>
  </si>
  <si>
    <t>25235, 25237</t>
  </si>
  <si>
    <t>25286, 25288</t>
  </si>
  <si>
    <t>25488, 25487</t>
  </si>
  <si>
    <t>24787, 24791</t>
  </si>
  <si>
    <t>24819, 24818</t>
  </si>
  <si>
    <t>23983, 23984</t>
  </si>
  <si>
    <t>23928, 23927</t>
  </si>
  <si>
    <t>23414, 23415</t>
  </si>
  <si>
    <t>24113, 24117</t>
  </si>
  <si>
    <t>2L, Und, FCoA</t>
  </si>
  <si>
    <t>Summer Street/3rd Street/US 70B/Grand Avenue Quad</t>
  </si>
  <si>
    <t>No Build Opening Year (2022) Daily Volume</t>
  </si>
  <si>
    <t>No Build Design Year (2041) Daily Volume</t>
  </si>
  <si>
    <t>2022 No Build Daily VMT</t>
  </si>
  <si>
    <t>2041 No Build Daily VMT</t>
  </si>
  <si>
    <t>2022 No Build Daily VHT</t>
  </si>
  <si>
    <t>2041 No Build Daily VHT</t>
  </si>
  <si>
    <t>2010 ARTDM Build AADT</t>
  </si>
  <si>
    <t>2040 ARTDM Build AADT</t>
  </si>
  <si>
    <t>ARTDM Build Growth Rate</t>
  </si>
  <si>
    <t>Adjusted 2010 Volume, Step 1 - Take the Ratio of 2010 Actual AADT to 2010 NB AADT</t>
  </si>
  <si>
    <t>Adjusted 2010 Volume, Step 2 - Multiply 2010 Build AADT by ratio derived in Step 1</t>
  </si>
  <si>
    <t>Adjusted 2010 Volume, Step 3 - Manual Adjustments Based on Modeling Limitations</t>
  </si>
  <si>
    <t>Comments on Step 3 Manaul Adustments</t>
  </si>
  <si>
    <t>Reduced to account for diversion of traffic on Fox Pass Cutoff to new location (1000 trips).</t>
  </si>
  <si>
    <t>Reduced for assumed through traffic at Hwy 7S (1000 trips). Reduced to account for diversion of traffic on Fox Pass Cutoff to new location (1000 trips).</t>
  </si>
  <si>
    <t>Reduced for assumed through traffic at Hwy 7S (1000 trips).</t>
  </si>
  <si>
    <t>Adjusted proportionally to account for diversion at Fox Pass Cutoff.</t>
  </si>
  <si>
    <t>Adjusted for change in traffic assumptions at Hwy 7S (250 trips).  Adjusted proportionally to account for diversion at Fox Pass Cutoff.</t>
  </si>
  <si>
    <t>Adjusted for change in traffic assumptions at Hwy 7S (750 trips).  Adjusted proportionally to account for diversion at Fox Pass Cutoff.</t>
  </si>
  <si>
    <t>Adjusted for change in traffic assumptions at Hwy 7S (1000 trips).  Adjusted proportionally to account for diversion at Fox Pass Cutoff.</t>
  </si>
  <si>
    <t>Build Opening Year (2022) Volume</t>
  </si>
  <si>
    <t>Build Design Year (2041) Volume</t>
  </si>
  <si>
    <t>2022 Build Daily VMT</t>
  </si>
  <si>
    <t>2041 Build Daily VMT</t>
  </si>
  <si>
    <t>2022 Build Daily VHT</t>
  </si>
  <si>
    <t>2041 Build Daily VHT</t>
  </si>
  <si>
    <r>
      <t>Number of Traffic Signals</t>
    </r>
    <r>
      <rPr>
        <i/>
        <vertAlign val="superscript"/>
        <sz val="11"/>
        <color theme="1"/>
        <rFont val="Arial Narrow"/>
        <family val="2"/>
      </rPr>
      <t>1</t>
    </r>
  </si>
  <si>
    <r>
      <t>Assumed Delay per Signal (hr)</t>
    </r>
    <r>
      <rPr>
        <i/>
        <vertAlign val="superscript"/>
        <sz val="11"/>
        <color theme="1"/>
        <rFont val="Arial Narrow"/>
        <family val="2"/>
      </rPr>
      <t>2</t>
    </r>
  </si>
  <si>
    <t>Truck Travel Time Value (per hour)</t>
  </si>
  <si>
    <t>Passenger Vehicle Travel Time Value (All Purposes) (per hour)</t>
  </si>
  <si>
    <t>Passenger Vehicle Operating Cost (per Mile)</t>
  </si>
  <si>
    <t>Truck Operating Cost (per Mile)</t>
  </si>
  <si>
    <t>Passenger Vehicle VMT Difference</t>
  </si>
  <si>
    <t>Truck VMT Difference</t>
  </si>
  <si>
    <t>2010 Build TDM</t>
  </si>
  <si>
    <t>Adjustment Factor</t>
  </si>
  <si>
    <t>Change</t>
  </si>
  <si>
    <t>Hwy 70 East</t>
  </si>
  <si>
    <t>Hwy 70B West</t>
  </si>
  <si>
    <t>2010 NB TDM</t>
  </si>
  <si>
    <t>Location</t>
  </si>
  <si>
    <t>2010 Estimate</t>
  </si>
  <si>
    <t>*Initial* New Location Opening Year Estimate</t>
  </si>
  <si>
    <t>Value set to new location screenline estimate.  Increased to account for diversion from Fox Pass Cutoff (1000 trips).  Growth rate set to growth rate for Highway 7 south of Highway 5.</t>
  </si>
  <si>
    <t>Assumes some loading on Hwy 7S for destination traffic and development taking access to Hwy 7S (approximately 250 trips per day), and some (but significantly reduced due to posting) through traffic (approximately 1000 trips per day).  Growth rate set to No Build growth rate.</t>
  </si>
  <si>
    <t>Assumes some loading on Hwy 7S for destination traffic and development taking access to Hwy 7S (approximately 250 trips per day), and some (but significantly reduced due to posting) through traffic (approximately 1000 trips per day).  Growth rate set to N</t>
  </si>
  <si>
    <r>
      <rPr>
        <vertAlign val="superscript"/>
        <sz val="11"/>
        <color theme="1"/>
        <rFont val="Arial Narrow"/>
        <family val="2"/>
      </rPr>
      <t>1</t>
    </r>
    <r>
      <rPr>
        <sz val="11"/>
        <color theme="1"/>
        <rFont val="Arial Narrow"/>
        <family val="2"/>
      </rPr>
      <t>To avoid duplication, signals that are shared by two or more segments are counted as one-half signal for each segment.  Signals at interchange ramps south of the Hwy 70/270 Bypass are counted as one-half signal.</t>
    </r>
  </si>
  <si>
    <r>
      <rPr>
        <vertAlign val="superscript"/>
        <sz val="11"/>
        <color theme="1"/>
        <rFont val="Arial Narrow"/>
        <family val="2"/>
      </rPr>
      <t>2</t>
    </r>
    <r>
      <rPr>
        <sz val="11"/>
        <color theme="1"/>
        <rFont val="Arial Narrow"/>
        <family val="2"/>
      </rPr>
      <t xml:space="preserve">For purposes of this generalized analysis, it is assumed that each traffic signal adds 35 seconds of delay (roughly corresponding to intersection LOS C/D) to travel times.  </t>
    </r>
  </si>
  <si>
    <t>Annual No Build VHT</t>
  </si>
  <si>
    <t>Annual Build VMT</t>
  </si>
  <si>
    <t>Annual No Build VMT</t>
  </si>
  <si>
    <t>Comment</t>
  </si>
  <si>
    <t>Length (mi)</t>
  </si>
  <si>
    <t>Effective Lane Mileage (mi)</t>
  </si>
  <si>
    <t>Total Cost for 2" Overlay</t>
  </si>
  <si>
    <t>in 2016 dollars</t>
  </si>
  <si>
    <t>TOTAL</t>
  </si>
  <si>
    <t>Annual Build VHT</t>
  </si>
  <si>
    <t>Table 1. Traffic Inputs, Assumptions and Calculations</t>
  </si>
  <si>
    <t>Table 2. New Location Screen Line</t>
  </si>
  <si>
    <t>Table 3. Build versus No-Build VHT</t>
  </si>
  <si>
    <t>Table 4. Undiscounted Travel Time Savings  – Passenger Vehicles Only</t>
  </si>
  <si>
    <t>Table 5. Undiscounted Travel Time Savings – Trucks Only</t>
  </si>
  <si>
    <t>Table 8. VMT – Rural, 2-Lanes, Undivided, No Control of Access</t>
  </si>
  <si>
    <t>Table 9. Basic Crash Statistics – Rural, 2-Lanes, Undivided, No Control of Access</t>
  </si>
  <si>
    <t>Table 10. Undiscounted No-Build Crash Savings by Year – Rural, 2-Lanes, Undivided, No Control of Access</t>
  </si>
  <si>
    <t>Table 6. Parameters and Assumptions</t>
  </si>
  <si>
    <t>Table 11. VMT – Rural, 2-Lanes, Undivided, Full Control of Access</t>
  </si>
  <si>
    <t>Table 12. Basic Crash Statistics – Rural, 2-Lanes, Undivided, Full Control of Access</t>
  </si>
  <si>
    <t>Table 13. Undiscounted No-Build Crash Savings by Year – Rural, 2-Lanes, Undivided, Full Control of Access</t>
  </si>
  <si>
    <t>Table 14. VMT – Rural, 4-Lanes, Divided, Full Control of Access</t>
  </si>
  <si>
    <t>Table 15. Basic Crash Statistics – Rural, 4-Lanes, Divided, Full Control of Access</t>
  </si>
  <si>
    <t>Table 16. Undiscounted No-Build Crash Savings by Year – Rural, 4-Lanes, Divided, Full Control of Access</t>
  </si>
  <si>
    <t>Table 17. VMT – Urban, 2-Lanes, Undivided, No Control of Access</t>
  </si>
  <si>
    <t>Table 18. Basic Crash Statistics – Urban, 2-Lanes, Undivided, No Control of Access</t>
  </si>
  <si>
    <t>Table 19. Undiscounted No-Build Crash Savings by Year – Urban, 2-Lanes, Undivided, No Control of Access</t>
  </si>
  <si>
    <t>Table 20. VMT – Urban, 4-Lanes, Undivided, No Control of Access</t>
  </si>
  <si>
    <t>Table 21. Basic Crash Statistics – Urban, 4-Lanes, Undivided, No Control of Access</t>
  </si>
  <si>
    <t>Table 22. Undiscounted No-Build Crash Savings by Year – Urban, 4-Lanes, Undivided, No Control of Access</t>
  </si>
  <si>
    <t>Table 23. VMT – Urban, 4-Lanes, Divided, No Control of Access</t>
  </si>
  <si>
    <t>Table 24. Basic Crash Statistics – Urban, 4-Lanes, Divided, No Control of Access</t>
  </si>
  <si>
    <t>Table 25. Undiscounted No-Build Crash Savings by Year – Urban, 4-Lanes, Divided, No Control of Access</t>
  </si>
  <si>
    <t>Table 26. VMT – Urban, 4-Lanes, Divided, No Control of Access</t>
  </si>
  <si>
    <t>Table 27. Basic Crash Statistics – Urban, 4-Lanes, Divided, Full Control of Access</t>
  </si>
  <si>
    <t>Table 28. Undiscounted No-Build Crash Savings by Year – Urban, 4-Lanes, Divided, Full Control of Access</t>
  </si>
  <si>
    <t>Table 29. Rural Crash Rates and Associated Crash Values</t>
  </si>
  <si>
    <t>Table 30. Urban Crash Rates and Associated Crash Values</t>
  </si>
  <si>
    <t>Table 31. Rural Supplemental Crash Rate Data</t>
  </si>
  <si>
    <t>Table 32. Urban Supplemental Crash Rate Data</t>
  </si>
  <si>
    <t>Table 33. Safety Countermeasures</t>
  </si>
  <si>
    <t>Table 7. Total Undiscounted Travel Time Savings</t>
  </si>
  <si>
    <t>Table 34. Total Undiscounted Crash Savings</t>
  </si>
  <si>
    <t>Total Safety Benefits</t>
  </si>
  <si>
    <t>Table 35. Build versus No-Build VMT</t>
  </si>
  <si>
    <t>Table 36. Undiscounted Vehicle Operating Cost Savings – Passenger Vehicles Only</t>
  </si>
  <si>
    <t>Table 37. Undiscounted Vehicle Operating Cost Savings – Trucks Only</t>
  </si>
  <si>
    <t>Table 38. Parameters and Assumptions</t>
  </si>
  <si>
    <t>Table 39. Total Undiscounted Vehicle Operating Costs</t>
  </si>
  <si>
    <t>Maintenance Costs</t>
  </si>
  <si>
    <t>Maintenance</t>
  </si>
  <si>
    <t>Table 40. Undiscounted Maintenance Costs</t>
  </si>
  <si>
    <t>Table 41. Maintenance Cost Workup</t>
  </si>
  <si>
    <t>Rehabilitation ($ per lane mile)</t>
  </si>
  <si>
    <t>Patching, Clean &amp; Fill Joints, Grinding, Etc.</t>
  </si>
  <si>
    <t>Lanes</t>
  </si>
  <si>
    <t>[Lanes] * [Length]</t>
  </si>
  <si>
    <t>Table 42. Maintenance Strategy</t>
  </si>
  <si>
    <r>
      <t xml:space="preserve">Annual VHT derived from </t>
    </r>
    <r>
      <rPr>
        <b/>
        <sz val="11"/>
        <color theme="1"/>
        <rFont val="Arial Narrow"/>
        <family val="2"/>
      </rPr>
      <t>Table 1</t>
    </r>
    <r>
      <rPr>
        <sz val="11"/>
        <color theme="1"/>
        <rFont val="Arial Narrow"/>
        <family val="2"/>
      </rPr>
      <t>.</t>
    </r>
  </si>
  <si>
    <r>
      <t xml:space="preserve">Result of screenline analysis applied to cell Z55 of </t>
    </r>
    <r>
      <rPr>
        <b/>
        <sz val="11"/>
        <color theme="1"/>
        <rFont val="Arial Narrow"/>
        <family val="2"/>
      </rPr>
      <t>Table 1</t>
    </r>
    <r>
      <rPr>
        <sz val="11"/>
        <color theme="1"/>
        <rFont val="Arial Narrow"/>
        <family val="2"/>
      </rPr>
      <t>.</t>
    </r>
  </si>
  <si>
    <t>Truck Percent (generalized)</t>
  </si>
  <si>
    <t>Figures derived from statewide data collected on rural highways in Arkansas between 2010 and 2014.</t>
  </si>
  <si>
    <r>
      <t xml:space="preserve">No CMF for strict control of access on a 2-lane rural facility could be identified at the Crash Modification Factor Clearinghouse.  A crash reduction of 25% was considered reasonable in light of other results, such as Lee, et al. (2011), </t>
    </r>
    <r>
      <rPr>
        <i/>
        <sz val="11"/>
        <color theme="1"/>
        <rFont val="Arial Narrow"/>
        <family val="2"/>
      </rPr>
      <t>Non-intersection-related Crashes at Mid-block in an Urban Divided Arterial Road with High Truck Volume</t>
    </r>
    <r>
      <rPr>
        <sz val="11"/>
        <color theme="1"/>
        <rFont val="Arial Narrow"/>
        <family val="2"/>
      </rPr>
      <t>, which found a reduction of 44% for strict control of access on urban, 4-lane divided arterials.</t>
    </r>
  </si>
  <si>
    <r>
      <t xml:space="preserve">Sum of annual savings from </t>
    </r>
    <r>
      <rPr>
        <b/>
        <sz val="11"/>
        <color theme="1"/>
        <rFont val="Arial Narrow"/>
        <family val="2"/>
      </rPr>
      <t>Tables 4</t>
    </r>
    <r>
      <rPr>
        <sz val="11"/>
        <color theme="1"/>
        <rFont val="Arial Narrow"/>
        <family val="2"/>
      </rPr>
      <t xml:space="preserve"> and </t>
    </r>
    <r>
      <rPr>
        <b/>
        <sz val="11"/>
        <color theme="1"/>
        <rFont val="Arial Narrow"/>
        <family val="2"/>
      </rPr>
      <t>5</t>
    </r>
    <r>
      <rPr>
        <sz val="11"/>
        <color theme="1"/>
        <rFont val="Arial Narrow"/>
        <family val="2"/>
      </rPr>
      <t>.</t>
    </r>
  </si>
  <si>
    <r>
      <t xml:space="preserve">Annual VMT derived from </t>
    </r>
    <r>
      <rPr>
        <b/>
        <sz val="11"/>
        <color theme="1"/>
        <rFont val="Arial Narrow"/>
        <family val="2"/>
      </rPr>
      <t>Table 1</t>
    </r>
    <r>
      <rPr>
        <sz val="11"/>
        <color theme="1"/>
        <rFont val="Arial Narrow"/>
        <family val="2"/>
      </rPr>
      <t>.</t>
    </r>
  </si>
  <si>
    <r>
      <t xml:space="preserve">Difference in VMT (millions) from </t>
    </r>
    <r>
      <rPr>
        <b/>
        <sz val="11"/>
        <color rgb="FF000000"/>
        <rFont val="Arial Narrow"/>
        <family val="2"/>
      </rPr>
      <t>Table 8</t>
    </r>
    <r>
      <rPr>
        <sz val="11"/>
        <color rgb="FF000000"/>
        <rFont val="Arial Narrow"/>
        <family val="2"/>
      </rPr>
      <t xml:space="preserve"> and crash rates from </t>
    </r>
    <r>
      <rPr>
        <b/>
        <sz val="11"/>
        <color rgb="FF000000"/>
        <rFont val="Arial Narrow"/>
        <family val="2"/>
      </rPr>
      <t>Table 29</t>
    </r>
    <r>
      <rPr>
        <sz val="11"/>
        <color rgb="FF000000"/>
        <rFont val="Arial Narrow"/>
        <family val="2"/>
      </rPr>
      <t>.</t>
    </r>
  </si>
  <si>
    <r>
      <t>Product of Difference in VMT (</t>
    </r>
    <r>
      <rPr>
        <b/>
        <sz val="11"/>
        <color theme="1"/>
        <rFont val="Arial Narrow"/>
        <family val="2"/>
      </rPr>
      <t>Table 8</t>
    </r>
    <r>
      <rPr>
        <sz val="11"/>
        <color theme="1"/>
        <rFont val="Arial Narrow"/>
        <family val="2"/>
      </rPr>
      <t>), crash rates (</t>
    </r>
    <r>
      <rPr>
        <b/>
        <sz val="11"/>
        <color theme="1"/>
        <rFont val="Arial Narrow"/>
        <family val="2"/>
      </rPr>
      <t>Table 8</t>
    </r>
    <r>
      <rPr>
        <sz val="11"/>
        <color theme="1"/>
        <rFont val="Arial Narrow"/>
        <family val="2"/>
      </rPr>
      <t>) and KABCO value (</t>
    </r>
    <r>
      <rPr>
        <b/>
        <sz val="11"/>
        <color theme="1"/>
        <rFont val="Arial Narrow"/>
        <family val="2"/>
      </rPr>
      <t>Table 29</t>
    </r>
    <r>
      <rPr>
        <sz val="11"/>
        <color theme="1"/>
        <rFont val="Arial Narrow"/>
        <family val="2"/>
      </rPr>
      <t>).</t>
    </r>
  </si>
  <si>
    <r>
      <t xml:space="preserve">Sum of annual savings from </t>
    </r>
    <r>
      <rPr>
        <b/>
        <sz val="11"/>
        <color theme="1"/>
        <rFont val="Arial Narrow"/>
        <family val="2"/>
      </rPr>
      <t>Tables 10</t>
    </r>
    <r>
      <rPr>
        <sz val="11"/>
        <color theme="1"/>
        <rFont val="Arial Narrow"/>
        <family val="2"/>
      </rPr>
      <t xml:space="preserve">, </t>
    </r>
    <r>
      <rPr>
        <b/>
        <sz val="11"/>
        <color theme="1"/>
        <rFont val="Arial Narrow"/>
        <family val="2"/>
      </rPr>
      <t>13</t>
    </r>
    <r>
      <rPr>
        <sz val="11"/>
        <color theme="1"/>
        <rFont val="Arial Narrow"/>
        <family val="2"/>
      </rPr>
      <t xml:space="preserve">, </t>
    </r>
    <r>
      <rPr>
        <b/>
        <sz val="11"/>
        <color theme="1"/>
        <rFont val="Arial Narrow"/>
        <family val="2"/>
      </rPr>
      <t>16</t>
    </r>
    <r>
      <rPr>
        <sz val="11"/>
        <color theme="1"/>
        <rFont val="Arial Narrow"/>
        <family val="2"/>
      </rPr>
      <t xml:space="preserve">, </t>
    </r>
    <r>
      <rPr>
        <b/>
        <sz val="11"/>
        <color theme="1"/>
        <rFont val="Arial Narrow"/>
        <family val="2"/>
      </rPr>
      <t>19</t>
    </r>
    <r>
      <rPr>
        <sz val="11"/>
        <color theme="1"/>
        <rFont val="Arial Narrow"/>
        <family val="2"/>
      </rPr>
      <t>,</t>
    </r>
    <r>
      <rPr>
        <b/>
        <sz val="11"/>
        <color theme="1"/>
        <rFont val="Arial Narrow"/>
        <family val="2"/>
      </rPr>
      <t xml:space="preserve"> 22</t>
    </r>
    <r>
      <rPr>
        <sz val="11"/>
        <color theme="1"/>
        <rFont val="Arial Narrow"/>
        <family val="2"/>
      </rPr>
      <t xml:space="preserve">, </t>
    </r>
    <r>
      <rPr>
        <b/>
        <sz val="11"/>
        <color theme="1"/>
        <rFont val="Arial Narrow"/>
        <family val="2"/>
      </rPr>
      <t>25</t>
    </r>
    <r>
      <rPr>
        <sz val="11"/>
        <color theme="1"/>
        <rFont val="Arial Narrow"/>
        <family val="2"/>
      </rPr>
      <t xml:space="preserve">, and </t>
    </r>
    <r>
      <rPr>
        <b/>
        <sz val="11"/>
        <color theme="1"/>
        <rFont val="Arial Narrow"/>
        <family val="2"/>
      </rPr>
      <t>28.</t>
    </r>
  </si>
  <si>
    <r>
      <t xml:space="preserve">Passenger vehicle savings derived from VHT in </t>
    </r>
    <r>
      <rPr>
        <b/>
        <sz val="11"/>
        <color theme="1"/>
        <rFont val="Arial Narrow"/>
        <family val="2"/>
      </rPr>
      <t>Table 3</t>
    </r>
    <r>
      <rPr>
        <sz val="11"/>
        <color theme="1"/>
        <rFont val="Arial Narrow"/>
        <family val="2"/>
      </rPr>
      <t xml:space="preserve"> multiplied by vehicle fraction, passenger vehicle occupancy, and passenger vehicle value of time in </t>
    </r>
    <r>
      <rPr>
        <b/>
        <sz val="11"/>
        <color theme="1"/>
        <rFont val="Arial Narrow"/>
        <family val="2"/>
      </rPr>
      <t>Table 6</t>
    </r>
    <r>
      <rPr>
        <sz val="11"/>
        <color theme="1"/>
        <rFont val="Arial Narrow"/>
        <family val="2"/>
      </rPr>
      <t xml:space="preserve">. </t>
    </r>
  </si>
  <si>
    <r>
      <t xml:space="preserve">Truck savings derived from VHT in </t>
    </r>
    <r>
      <rPr>
        <b/>
        <sz val="11"/>
        <color theme="1"/>
        <rFont val="Arial Narrow"/>
        <family val="2"/>
      </rPr>
      <t>Table 3</t>
    </r>
    <r>
      <rPr>
        <sz val="11"/>
        <color theme="1"/>
        <rFont val="Arial Narrow"/>
        <family val="2"/>
      </rPr>
      <t xml:space="preserve"> multiplied by vehicle fraction, passenger vehicle occupancy, and passenger vehicle value of time in </t>
    </r>
    <r>
      <rPr>
        <b/>
        <sz val="11"/>
        <color theme="1"/>
        <rFont val="Arial Narrow"/>
        <family val="2"/>
      </rPr>
      <t>Table 6</t>
    </r>
    <r>
      <rPr>
        <sz val="11"/>
        <color theme="1"/>
        <rFont val="Arial Narrow"/>
        <family val="2"/>
      </rPr>
      <t xml:space="preserve">. </t>
    </r>
  </si>
  <si>
    <r>
      <t xml:space="preserve">Passenger vehicle VOC savings derived from VMT in </t>
    </r>
    <r>
      <rPr>
        <b/>
        <sz val="11"/>
        <color theme="1"/>
        <rFont val="Arial Narrow"/>
        <family val="2"/>
      </rPr>
      <t>Table 35</t>
    </r>
    <r>
      <rPr>
        <sz val="11"/>
        <color theme="1"/>
        <rFont val="Arial Narrow"/>
        <family val="2"/>
      </rPr>
      <t xml:space="preserve"> multiplied by vehicle fraction and passenger vehicle operating cost per mile in </t>
    </r>
    <r>
      <rPr>
        <b/>
        <sz val="11"/>
        <color theme="1"/>
        <rFont val="Arial Narrow"/>
        <family val="2"/>
      </rPr>
      <t>Table 38</t>
    </r>
    <r>
      <rPr>
        <sz val="11"/>
        <color theme="1"/>
        <rFont val="Arial Narrow"/>
        <family val="2"/>
      </rPr>
      <t>.</t>
    </r>
  </si>
  <si>
    <r>
      <t xml:space="preserve">Truck VOC savings derived from VMT in </t>
    </r>
    <r>
      <rPr>
        <b/>
        <sz val="11"/>
        <color theme="1"/>
        <rFont val="Arial Narrow"/>
        <family val="2"/>
      </rPr>
      <t>Table 35</t>
    </r>
    <r>
      <rPr>
        <sz val="11"/>
        <color theme="1"/>
        <rFont val="Arial Narrow"/>
        <family val="2"/>
      </rPr>
      <t xml:space="preserve"> multiplied by vehicle fraction and passenger vehicle operating cost per mile in </t>
    </r>
    <r>
      <rPr>
        <b/>
        <sz val="11"/>
        <color theme="1"/>
        <rFont val="Arial Narrow"/>
        <family val="2"/>
      </rPr>
      <t>Table 38</t>
    </r>
    <r>
      <rPr>
        <sz val="11"/>
        <color theme="1"/>
        <rFont val="Arial Narrow"/>
        <family val="2"/>
      </rPr>
      <t>.</t>
    </r>
  </si>
  <si>
    <r>
      <t xml:space="preserve">Sum of annual savings from </t>
    </r>
    <r>
      <rPr>
        <b/>
        <sz val="11"/>
        <color theme="1"/>
        <rFont val="Arial Narrow"/>
        <family val="2"/>
      </rPr>
      <t>Tables 36</t>
    </r>
    <r>
      <rPr>
        <sz val="11"/>
        <color theme="1"/>
        <rFont val="Arial Narrow"/>
        <family val="2"/>
      </rPr>
      <t xml:space="preserve"> and </t>
    </r>
    <r>
      <rPr>
        <b/>
        <sz val="11"/>
        <color theme="1"/>
        <rFont val="Arial Narrow"/>
        <family val="2"/>
      </rPr>
      <t>37</t>
    </r>
    <r>
      <rPr>
        <sz val="11"/>
        <color theme="1"/>
        <rFont val="Arial Narrow"/>
        <family val="2"/>
      </rPr>
      <t>.</t>
    </r>
  </si>
  <si>
    <t>Structures Estimate</t>
  </si>
  <si>
    <t>Life Expectancy (years)</t>
  </si>
  <si>
    <t>Residual Value</t>
  </si>
  <si>
    <t>Table 43. Undiscounted Residual Value</t>
  </si>
  <si>
    <t>Period of Analysis (years)</t>
  </si>
  <si>
    <t>Remaining Service Life (years)</t>
  </si>
  <si>
    <t>Table 44. Structures Cost Depreciation</t>
  </si>
  <si>
    <t>Table 45. Undiscounted Capital Costs</t>
  </si>
  <si>
    <t>Table 46. Budget Breakout</t>
  </si>
  <si>
    <t>Table 47. Undiscounted Benefits and Costs</t>
  </si>
  <si>
    <t>Table 48. Benefits and Costs at 7% Discount</t>
  </si>
  <si>
    <t>Table 49. Benefits and Costs at 3% Discount</t>
  </si>
  <si>
    <t>Bridges over Promised Land Drive, Covenant Trail, Mill Creek Road, Denise Lane and Quarry Mountain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</si>
</sst>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_(&quot;$&quot;* #,##0_);_(&quot;$&quot;* \(#,##0\);_(&quot;$&quot;* &quot;-&quot;??_);_(@_)"/>
    <numFmt numFmtId="165" formatCode="0.0000"/>
    <numFmt numFmtId="166" formatCode="&quot;$&quot;#,##0.00"/>
    <numFmt numFmtId="167" formatCode="0.000"/>
    <numFmt numFmtId="168" formatCode="0.0"/>
    <numFmt numFmtId="174" formatCode="&quot;$&quot;#,##0"/>
  </numFmts>
  <fonts count="12" x14ac:knownFonts="1">
    <font>
      <sz val="11"/>
      <color theme="1"/>
      <name val="Calibri"/>
      <family val="2"/>
      <scheme val="minor"/>
    </font>
    <font>
      <sz val="11"/>
      <color theme="1"/>
      <name val="Calibri"/>
      <family val="2"/>
      <scheme val="minor"/>
    </font>
    <font>
      <sz val="11"/>
      <color theme="1"/>
      <name val="Arial Narrow"/>
      <family val="2"/>
    </font>
    <font>
      <i/>
      <sz val="11"/>
      <color theme="1"/>
      <name val="Arial Narrow"/>
      <family val="2"/>
    </font>
    <font>
      <b/>
      <sz val="11"/>
      <color theme="1"/>
      <name val="Arial Narrow"/>
      <family val="2"/>
    </font>
    <font>
      <sz val="11"/>
      <name val="Arial Narrow"/>
      <family val="2"/>
    </font>
    <font>
      <sz val="11"/>
      <color rgb="FF000000"/>
      <name val="Arial Narrow"/>
      <family val="2"/>
    </font>
    <font>
      <sz val="11"/>
      <color rgb="FFFF0000"/>
      <name val="Arial Narrow"/>
      <family val="2"/>
    </font>
    <font>
      <i/>
      <vertAlign val="superscript"/>
      <sz val="11"/>
      <color theme="1"/>
      <name val="Arial Narrow"/>
      <family val="2"/>
    </font>
    <font>
      <vertAlign val="superscript"/>
      <sz val="11"/>
      <color theme="1"/>
      <name val="Arial Narrow"/>
      <family val="2"/>
    </font>
    <font>
      <b/>
      <sz val="11"/>
      <color rgb="FF000000"/>
      <name val="Arial Narrow"/>
      <family val="2"/>
    </font>
    <font>
      <b/>
      <sz val="11"/>
      <name val="Arial Narrow"/>
      <family val="2"/>
    </font>
  </fonts>
  <fills count="5">
    <fill>
      <patternFill patternType="none"/>
    </fill>
    <fill>
      <patternFill patternType="gray125"/>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482">
    <xf numFmtId="0" fontId="0" fillId="0" borderId="0" xfId="0"/>
    <xf numFmtId="0" fontId="2" fillId="0" borderId="0" xfId="0" applyFont="1"/>
    <xf numFmtId="0" fontId="2" fillId="0" borderId="0" xfId="0" applyFont="1" applyAlignment="1">
      <alignment horizontal="center" vertical="center" wrapText="1"/>
    </xf>
    <xf numFmtId="164" fontId="2" fillId="0" borderId="0" xfId="1" applyNumberFormat="1" applyFont="1"/>
    <xf numFmtId="164" fontId="2" fillId="0" borderId="0" xfId="0" applyNumberFormat="1" applyFont="1"/>
    <xf numFmtId="2" fontId="2" fillId="0" borderId="0" xfId="0" applyNumberFormat="1" applyFont="1" applyAlignment="1">
      <alignment horizontal="center"/>
    </xf>
    <xf numFmtId="0" fontId="2" fillId="0" borderId="0" xfId="0" applyFont="1" applyAlignment="1">
      <alignment horizontal="right"/>
    </xf>
    <xf numFmtId="0" fontId="4" fillId="0" borderId="0" xfId="0" applyFont="1" applyAlignment="1">
      <alignment horizontal="right"/>
    </xf>
    <xf numFmtId="0" fontId="2" fillId="0" borderId="0" xfId="0" applyFont="1" applyFill="1"/>
    <xf numFmtId="0" fontId="2" fillId="0" borderId="0" xfId="0" applyFont="1" applyFill="1" applyAlignment="1">
      <alignment horizontal="right"/>
    </xf>
    <xf numFmtId="164" fontId="2" fillId="3" borderId="1" xfId="1" applyNumberFormat="1" applyFont="1" applyFill="1" applyBorder="1"/>
    <xf numFmtId="1" fontId="2" fillId="0" borderId="13" xfId="0" applyNumberFormat="1" applyFont="1" applyBorder="1" applyAlignment="1">
      <alignment horizontal="center"/>
    </xf>
    <xf numFmtId="164" fontId="2" fillId="3" borderId="39" xfId="1" applyNumberFormat="1" applyFont="1" applyFill="1" applyBorder="1"/>
    <xf numFmtId="1" fontId="2" fillId="0" borderId="43" xfId="1" applyNumberFormat="1" applyFont="1" applyBorder="1" applyAlignment="1">
      <alignment horizontal="center"/>
    </xf>
    <xf numFmtId="1" fontId="2" fillId="0" borderId="43" xfId="0" applyNumberFormat="1" applyFont="1" applyBorder="1" applyAlignment="1">
      <alignment horizontal="center"/>
    </xf>
    <xf numFmtId="1" fontId="2" fillId="0" borderId="14" xfId="1" applyNumberFormat="1" applyFont="1" applyBorder="1" applyAlignment="1">
      <alignment horizontal="center"/>
    </xf>
    <xf numFmtId="164" fontId="2" fillId="3" borderId="40" xfId="1" applyNumberFormat="1" applyFont="1" applyFill="1" applyBorder="1"/>
    <xf numFmtId="164" fontId="2" fillId="3" borderId="29" xfId="0" applyNumberFormat="1" applyFont="1" applyFill="1" applyBorder="1"/>
    <xf numFmtId="164" fontId="2" fillId="2" borderId="29" xfId="0" applyNumberFormat="1" applyFont="1" applyFill="1" applyBorder="1"/>
    <xf numFmtId="164" fontId="4" fillId="0" borderId="29" xfId="0" applyNumberFormat="1" applyFont="1" applyBorder="1"/>
    <xf numFmtId="164" fontId="2" fillId="2" borderId="7" xfId="1" applyNumberFormat="1" applyFont="1" applyFill="1" applyBorder="1"/>
    <xf numFmtId="164" fontId="2" fillId="3" borderId="45" xfId="0" applyNumberFormat="1" applyFont="1" applyFill="1" applyBorder="1"/>
    <xf numFmtId="2" fontId="4" fillId="0" borderId="29" xfId="0" applyNumberFormat="1" applyFont="1" applyBorder="1" applyAlignment="1">
      <alignment horizontal="center"/>
    </xf>
    <xf numFmtId="0" fontId="3" fillId="3" borderId="42" xfId="0" applyFont="1" applyFill="1" applyBorder="1" applyAlignment="1">
      <alignment horizontal="center" vertical="center" wrapText="1"/>
    </xf>
    <xf numFmtId="0" fontId="3" fillId="0" borderId="11" xfId="0" applyFont="1" applyBorder="1" applyAlignment="1">
      <alignment horizontal="center" vertical="center" wrapText="1"/>
    </xf>
    <xf numFmtId="0" fontId="2" fillId="0" borderId="0" xfId="0" applyFont="1" applyAlignment="1">
      <alignment horizontal="center" vertical="center"/>
    </xf>
    <xf numFmtId="0" fontId="3" fillId="0" borderId="4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30" xfId="0" applyFont="1" applyBorder="1" applyAlignment="1">
      <alignment horizontal="center" vertical="center"/>
    </xf>
    <xf numFmtId="0" fontId="2" fillId="0" borderId="6" xfId="0" applyFont="1" applyBorder="1" applyAlignment="1">
      <alignment horizontal="center" vertical="center"/>
    </xf>
    <xf numFmtId="1" fontId="2" fillId="0" borderId="1"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8" xfId="0" applyFont="1" applyBorder="1" applyAlignment="1">
      <alignment horizontal="center" vertical="center"/>
    </xf>
    <xf numFmtId="1" fontId="2" fillId="0" borderId="40"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0" borderId="0" xfId="0" applyFont="1" applyBorder="1" applyAlignment="1">
      <alignment horizontal="center" vertical="center" wrapText="1"/>
    </xf>
    <xf numFmtId="9" fontId="2" fillId="0" borderId="12" xfId="0" applyNumberFormat="1" applyFont="1" applyBorder="1" applyAlignment="1">
      <alignment horizontal="center" vertical="center"/>
    </xf>
    <xf numFmtId="0" fontId="2" fillId="0" borderId="0" xfId="0" applyFont="1" applyAlignment="1">
      <alignment horizontal="center"/>
    </xf>
    <xf numFmtId="165" fontId="2" fillId="0" borderId="40" xfId="0" applyNumberFormat="1" applyFont="1" applyBorder="1" applyAlignment="1">
      <alignment horizontal="center" vertical="center" wrapText="1"/>
    </xf>
    <xf numFmtId="164" fontId="2" fillId="0" borderId="40" xfId="1" applyNumberFormat="1" applyFont="1" applyBorder="1" applyAlignment="1">
      <alignment horizontal="center" vertical="center" wrapText="1"/>
    </xf>
    <xf numFmtId="165" fontId="2" fillId="0" borderId="9"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2" fillId="0" borderId="0" xfId="0" applyFont="1" applyFill="1" applyAlignment="1">
      <alignment wrapText="1"/>
    </xf>
    <xf numFmtId="0" fontId="4" fillId="0" borderId="0" xfId="0" applyFont="1" applyBorder="1" applyAlignment="1">
      <alignment horizontal="center" vertical="center"/>
    </xf>
    <xf numFmtId="0" fontId="3" fillId="0" borderId="49" xfId="0" applyFont="1" applyBorder="1" applyAlignment="1">
      <alignment horizontal="center" vertical="center" wrapText="1"/>
    </xf>
    <xf numFmtId="164" fontId="2" fillId="2" borderId="31" xfId="1" applyNumberFormat="1" applyFont="1" applyFill="1" applyBorder="1"/>
    <xf numFmtId="164" fontId="2" fillId="2" borderId="9" xfId="1" applyNumberFormat="1" applyFont="1" applyFill="1" applyBorder="1"/>
    <xf numFmtId="164" fontId="2" fillId="3" borderId="32" xfId="1" applyNumberFormat="1" applyFont="1" applyFill="1" applyBorder="1"/>
    <xf numFmtId="164" fontId="2" fillId="3" borderId="20" xfId="1" applyNumberFormat="1" applyFont="1" applyFill="1" applyBorder="1"/>
    <xf numFmtId="164" fontId="2" fillId="3" borderId="18" xfId="1" applyNumberFormat="1" applyFont="1" applyFill="1" applyBorder="1"/>
    <xf numFmtId="9" fontId="2" fillId="0" borderId="0" xfId="0" applyNumberFormat="1" applyFont="1" applyAlignment="1">
      <alignment horizontal="center" vertical="center"/>
    </xf>
    <xf numFmtId="0" fontId="2" fillId="0" borderId="0" xfId="0" applyFont="1" applyAlignment="1">
      <alignment horizontal="center" vertical="center"/>
    </xf>
    <xf numFmtId="0" fontId="3" fillId="0" borderId="12" xfId="0" applyFont="1" applyBorder="1" applyAlignment="1">
      <alignment horizontal="center" vertical="center"/>
    </xf>
    <xf numFmtId="2" fontId="2" fillId="0" borderId="31" xfId="0" applyNumberFormat="1" applyFont="1" applyBorder="1" applyAlignment="1">
      <alignment horizontal="center" vertical="center"/>
    </xf>
    <xf numFmtId="2" fontId="2" fillId="0" borderId="9" xfId="0" applyNumberFormat="1" applyFont="1" applyBorder="1" applyAlignment="1">
      <alignment horizontal="center" vertical="center"/>
    </xf>
    <xf numFmtId="166" fontId="2" fillId="0" borderId="31" xfId="1" applyNumberFormat="1" applyFont="1" applyBorder="1" applyAlignment="1">
      <alignment horizontal="center" vertical="center"/>
    </xf>
    <xf numFmtId="166" fontId="2" fillId="0" borderId="9" xfId="1" applyNumberFormat="1" applyFont="1" applyBorder="1" applyAlignment="1">
      <alignment horizontal="center" vertical="center"/>
    </xf>
    <xf numFmtId="1" fontId="2" fillId="0" borderId="0" xfId="0" applyNumberFormat="1" applyFont="1" applyBorder="1" applyAlignment="1">
      <alignment horizontal="center" vertical="center"/>
    </xf>
    <xf numFmtId="0" fontId="3" fillId="0" borderId="0" xfId="0" applyFont="1" applyBorder="1" applyAlignment="1">
      <alignment horizontal="center" vertical="center"/>
    </xf>
    <xf numFmtId="9" fontId="2" fillId="0" borderId="0" xfId="0" applyNumberFormat="1" applyFont="1" applyBorder="1" applyAlignment="1">
      <alignment horizontal="center" vertical="center"/>
    </xf>
    <xf numFmtId="166" fontId="2" fillId="0" borderId="0" xfId="1" applyNumberFormat="1" applyFont="1" applyBorder="1" applyAlignment="1">
      <alignment horizontal="center" vertical="center"/>
    </xf>
    <xf numFmtId="44" fontId="2" fillId="0" borderId="0" xfId="0" applyNumberFormat="1" applyFont="1" applyBorder="1" applyAlignment="1">
      <alignment horizontal="center" vertical="center"/>
    </xf>
    <xf numFmtId="1" fontId="2" fillId="0" borderId="52" xfId="0" applyNumberFormat="1" applyFont="1" applyBorder="1" applyAlignment="1">
      <alignment horizontal="center" vertical="center"/>
    </xf>
    <xf numFmtId="1" fontId="2" fillId="0" borderId="50" xfId="0" applyNumberFormat="1" applyFont="1" applyBorder="1" applyAlignment="1">
      <alignment horizontal="center" vertical="center"/>
    </xf>
    <xf numFmtId="44" fontId="2" fillId="3" borderId="17" xfId="0" applyNumberFormat="1" applyFont="1" applyFill="1" applyBorder="1" applyAlignment="1">
      <alignment horizontal="center" vertical="center"/>
    </xf>
    <xf numFmtId="44" fontId="2" fillId="3" borderId="44" xfId="0" applyNumberFormat="1" applyFont="1" applyFill="1" applyBorder="1" applyAlignment="1">
      <alignment horizontal="center" vertical="center"/>
    </xf>
    <xf numFmtId="0" fontId="3" fillId="3" borderId="34" xfId="0" applyFont="1" applyFill="1" applyBorder="1" applyAlignment="1">
      <alignment horizontal="center" vertical="center" wrapText="1"/>
    </xf>
    <xf numFmtId="0" fontId="6" fillId="0" borderId="0" xfId="0" applyFont="1" applyBorder="1" applyAlignment="1">
      <alignment vertical="center" wrapText="1"/>
    </xf>
    <xf numFmtId="0" fontId="2" fillId="0" borderId="0" xfId="0" applyFont="1" applyFill="1" applyBorder="1" applyAlignment="1">
      <alignment wrapText="1"/>
    </xf>
    <xf numFmtId="1" fontId="2" fillId="0" borderId="0" xfId="0" applyNumberFormat="1" applyFont="1" applyBorder="1" applyAlignment="1">
      <alignment horizontal="center" vertical="center"/>
    </xf>
    <xf numFmtId="0" fontId="2" fillId="0" borderId="30" xfId="0" applyFont="1" applyBorder="1" applyAlignment="1">
      <alignment horizontal="center" vertical="center"/>
    </xf>
    <xf numFmtId="0" fontId="2" fillId="0" borderId="8" xfId="0" applyFont="1" applyBorder="1" applyAlignment="1">
      <alignment horizontal="center" vertical="center"/>
    </xf>
    <xf numFmtId="0" fontId="3" fillId="0" borderId="41" xfId="0" applyFont="1" applyBorder="1" applyAlignment="1">
      <alignment horizontal="center" vertical="center"/>
    </xf>
    <xf numFmtId="0" fontId="3" fillId="0" borderId="41" xfId="0" applyFont="1" applyBorder="1" applyAlignment="1">
      <alignment horizontal="center"/>
    </xf>
    <xf numFmtId="0" fontId="3" fillId="0" borderId="49" xfId="0" applyFont="1" applyBorder="1" applyAlignment="1">
      <alignment horizontal="center" vertical="center" wrapText="1"/>
    </xf>
    <xf numFmtId="0" fontId="2" fillId="0" borderId="0" xfId="0" applyFont="1" applyFill="1" applyBorder="1" applyAlignment="1">
      <alignment horizontal="center"/>
    </xf>
    <xf numFmtId="167" fontId="2" fillId="0" borderId="0" xfId="0" applyNumberFormat="1" applyFont="1" applyFill="1" applyBorder="1" applyAlignment="1">
      <alignment horizontal="center"/>
    </xf>
    <xf numFmtId="2" fontId="2" fillId="0" borderId="0" xfId="0" applyNumberFormat="1" applyFont="1" applyFill="1" applyBorder="1" applyAlignment="1">
      <alignment horizontal="center"/>
    </xf>
    <xf numFmtId="168" fontId="2" fillId="0" borderId="0" xfId="0" applyNumberFormat="1" applyFont="1" applyFill="1" applyBorder="1" applyAlignment="1">
      <alignment horizontal="center"/>
    </xf>
    <xf numFmtId="165" fontId="5" fillId="0" borderId="0" xfId="0" applyNumberFormat="1" applyFont="1" applyFill="1" applyBorder="1" applyAlignment="1">
      <alignment horizontal="center"/>
    </xf>
    <xf numFmtId="0" fontId="2" fillId="0" borderId="0" xfId="0" applyFont="1" applyFill="1" applyBorder="1" applyAlignment="1">
      <alignment horizontal="left"/>
    </xf>
    <xf numFmtId="0" fontId="3" fillId="0" borderId="26"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2" fillId="0" borderId="36" xfId="0" applyFont="1" applyFill="1" applyBorder="1" applyAlignment="1">
      <alignment horizontal="center"/>
    </xf>
    <xf numFmtId="2" fontId="2" fillId="0" borderId="36" xfId="0" applyNumberFormat="1" applyFont="1" applyFill="1" applyBorder="1" applyAlignment="1">
      <alignment horizontal="center"/>
    </xf>
    <xf numFmtId="168" fontId="2" fillId="0" borderId="36" xfId="0" applyNumberFormat="1" applyFont="1" applyFill="1" applyBorder="1" applyAlignment="1">
      <alignment horizontal="center"/>
    </xf>
    <xf numFmtId="165" fontId="5" fillId="0" borderId="36" xfId="0" applyNumberFormat="1" applyFont="1" applyFill="1" applyBorder="1" applyAlignment="1">
      <alignment horizontal="center"/>
    </xf>
    <xf numFmtId="167" fontId="2" fillId="0" borderId="36" xfId="0" applyNumberFormat="1" applyFont="1" applyFill="1" applyBorder="1" applyAlignment="1">
      <alignment horizontal="center"/>
    </xf>
    <xf numFmtId="0" fontId="2" fillId="0" borderId="33" xfId="0" applyFont="1" applyFill="1" applyBorder="1" applyAlignment="1">
      <alignment horizontal="center" vertical="center"/>
    </xf>
    <xf numFmtId="0" fontId="2" fillId="0" borderId="65" xfId="0" applyFont="1" applyFill="1" applyBorder="1" applyAlignment="1">
      <alignment horizontal="center"/>
    </xf>
    <xf numFmtId="0" fontId="2" fillId="0" borderId="28" xfId="0" applyFont="1" applyFill="1" applyBorder="1" applyAlignment="1">
      <alignment horizontal="center"/>
    </xf>
    <xf numFmtId="2" fontId="2" fillId="0" borderId="28" xfId="0" applyNumberFormat="1" applyFont="1" applyFill="1" applyBorder="1" applyAlignment="1">
      <alignment horizontal="center"/>
    </xf>
    <xf numFmtId="168" fontId="2" fillId="0" borderId="28" xfId="0" applyNumberFormat="1" applyFont="1" applyFill="1" applyBorder="1" applyAlignment="1">
      <alignment horizontal="center"/>
    </xf>
    <xf numFmtId="165" fontId="5" fillId="0" borderId="28" xfId="0" applyNumberFormat="1" applyFont="1" applyFill="1" applyBorder="1" applyAlignment="1">
      <alignment horizontal="center"/>
    </xf>
    <xf numFmtId="167" fontId="2" fillId="0" borderId="28" xfId="0" applyNumberFormat="1" applyFont="1" applyFill="1" applyBorder="1" applyAlignment="1">
      <alignment horizontal="center"/>
    </xf>
    <xf numFmtId="0" fontId="2" fillId="0" borderId="15" xfId="0" applyFont="1" applyFill="1" applyBorder="1" applyAlignment="1">
      <alignment horizontal="center"/>
    </xf>
    <xf numFmtId="2" fontId="2" fillId="0" borderId="15" xfId="0" applyNumberFormat="1" applyFont="1" applyFill="1" applyBorder="1" applyAlignment="1">
      <alignment horizontal="center"/>
    </xf>
    <xf numFmtId="168" fontId="2" fillId="0" borderId="15" xfId="0" applyNumberFormat="1" applyFont="1" applyFill="1" applyBorder="1" applyAlignment="1">
      <alignment horizontal="center"/>
    </xf>
    <xf numFmtId="165" fontId="5" fillId="0" borderId="15" xfId="0" applyNumberFormat="1" applyFont="1" applyFill="1" applyBorder="1" applyAlignment="1">
      <alignment horizontal="center"/>
    </xf>
    <xf numFmtId="167" fontId="2" fillId="0" borderId="15" xfId="0" applyNumberFormat="1" applyFont="1" applyFill="1" applyBorder="1" applyAlignment="1">
      <alignment horizontal="center"/>
    </xf>
    <xf numFmtId="0" fontId="2" fillId="0" borderId="16" xfId="0" applyFont="1" applyFill="1" applyBorder="1" applyAlignment="1">
      <alignment horizontal="center"/>
    </xf>
    <xf numFmtId="2" fontId="2" fillId="0" borderId="16" xfId="0" applyNumberFormat="1" applyFont="1" applyFill="1" applyBorder="1" applyAlignment="1">
      <alignment horizontal="center"/>
    </xf>
    <xf numFmtId="168" fontId="2" fillId="0" borderId="16" xfId="0" applyNumberFormat="1" applyFont="1" applyFill="1" applyBorder="1" applyAlignment="1">
      <alignment horizontal="center"/>
    </xf>
    <xf numFmtId="165" fontId="5" fillId="0" borderId="16" xfId="0" applyNumberFormat="1" applyFont="1" applyFill="1" applyBorder="1" applyAlignment="1">
      <alignment horizontal="center"/>
    </xf>
    <xf numFmtId="167" fontId="2" fillId="0" borderId="16" xfId="0" applyNumberFormat="1" applyFont="1" applyFill="1" applyBorder="1" applyAlignment="1">
      <alignment horizontal="center"/>
    </xf>
    <xf numFmtId="0" fontId="2" fillId="0" borderId="43" xfId="0" applyFont="1" applyFill="1" applyBorder="1" applyAlignment="1">
      <alignment horizontal="center" vertical="center" wrapText="1"/>
    </xf>
    <xf numFmtId="0" fontId="2" fillId="0" borderId="68" xfId="0" applyFont="1" applyFill="1" applyBorder="1" applyAlignment="1">
      <alignment horizontal="center"/>
    </xf>
    <xf numFmtId="2" fontId="2" fillId="0" borderId="68" xfId="0" applyNumberFormat="1" applyFont="1" applyFill="1" applyBorder="1" applyAlignment="1">
      <alignment horizontal="center"/>
    </xf>
    <xf numFmtId="168" fontId="2" fillId="0" borderId="68" xfId="0" applyNumberFormat="1" applyFont="1" applyFill="1" applyBorder="1" applyAlignment="1">
      <alignment horizontal="center"/>
    </xf>
    <xf numFmtId="165" fontId="5" fillId="0" borderId="68" xfId="0" applyNumberFormat="1" applyFont="1" applyFill="1" applyBorder="1" applyAlignment="1">
      <alignment horizontal="center"/>
    </xf>
    <xf numFmtId="167" fontId="2" fillId="0" borderId="68" xfId="0" applyNumberFormat="1" applyFont="1" applyFill="1" applyBorder="1" applyAlignment="1">
      <alignment horizontal="center"/>
    </xf>
    <xf numFmtId="0" fontId="2" fillId="0" borderId="69" xfId="0" applyFont="1" applyBorder="1" applyAlignment="1">
      <alignment horizontal="center" vertical="center"/>
    </xf>
    <xf numFmtId="166" fontId="2" fillId="0" borderId="31" xfId="0" applyNumberFormat="1" applyFont="1" applyBorder="1" applyAlignment="1">
      <alignment horizontal="center" vertical="center"/>
    </xf>
    <xf numFmtId="166" fontId="2" fillId="0" borderId="9" xfId="0" applyNumberFormat="1" applyFont="1" applyBorder="1" applyAlignment="1">
      <alignment horizontal="center" vertical="center"/>
    </xf>
    <xf numFmtId="0" fontId="2" fillId="0" borderId="13" xfId="0" applyFont="1" applyBorder="1" applyAlignment="1">
      <alignment horizontal="center" vertical="center"/>
    </xf>
    <xf numFmtId="0" fontId="2" fillId="0" borderId="43" xfId="0" applyFont="1" applyBorder="1" applyAlignment="1">
      <alignment horizontal="center" vertical="center"/>
    </xf>
    <xf numFmtId="0" fontId="2" fillId="0" borderId="14" xfId="0" applyFont="1" applyBorder="1" applyAlignment="1">
      <alignment horizontal="center" vertical="center"/>
    </xf>
    <xf numFmtId="1" fontId="2" fillId="0" borderId="6" xfId="0" applyNumberFormat="1" applyFont="1" applyBorder="1" applyAlignment="1">
      <alignment horizontal="center" vertical="center"/>
    </xf>
    <xf numFmtId="1" fontId="2" fillId="0" borderId="8" xfId="0" applyNumberFormat="1" applyFont="1" applyBorder="1" applyAlignment="1">
      <alignment horizontal="center" vertical="center"/>
    </xf>
    <xf numFmtId="0" fontId="4" fillId="0" borderId="0" xfId="0" applyFont="1" applyFill="1" applyBorder="1" applyAlignment="1">
      <alignment horizontal="left"/>
    </xf>
    <xf numFmtId="0" fontId="2" fillId="0" borderId="33"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33"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2" fillId="0" borderId="64" xfId="0" applyFont="1" applyFill="1" applyBorder="1" applyAlignment="1">
      <alignment horizontal="center" vertical="center"/>
    </xf>
    <xf numFmtId="0" fontId="3" fillId="0" borderId="11" xfId="0" applyFont="1" applyBorder="1" applyAlignment="1">
      <alignment horizontal="center" vertical="center"/>
    </xf>
    <xf numFmtId="0" fontId="3" fillId="0" borderId="41" xfId="0" applyFont="1" applyBorder="1" applyAlignment="1">
      <alignment horizontal="center" vertical="center"/>
    </xf>
    <xf numFmtId="0" fontId="4" fillId="0" borderId="0" xfId="0" applyFont="1" applyBorder="1" applyAlignment="1">
      <alignment horizontal="center" vertical="center"/>
    </xf>
    <xf numFmtId="1" fontId="2" fillId="0" borderId="53" xfId="0" applyNumberFormat="1" applyFont="1" applyBorder="1" applyAlignment="1">
      <alignment horizontal="center" vertical="center"/>
    </xf>
    <xf numFmtId="1" fontId="2" fillId="0" borderId="36" xfId="0" applyNumberFormat="1" applyFont="1" applyBorder="1" applyAlignment="1">
      <alignment horizontal="center" vertical="center"/>
    </xf>
    <xf numFmtId="1" fontId="2" fillId="0" borderId="34" xfId="0" applyNumberFormat="1" applyFont="1" applyBorder="1" applyAlignment="1">
      <alignment horizontal="center" vertical="center"/>
    </xf>
    <xf numFmtId="1" fontId="2" fillId="0" borderId="24" xfId="0" applyNumberFormat="1" applyFont="1" applyBorder="1" applyAlignment="1">
      <alignment horizontal="center" vertical="center"/>
    </xf>
    <xf numFmtId="1" fontId="2" fillId="0" borderId="0" xfId="0" applyNumberFormat="1" applyFont="1" applyBorder="1" applyAlignment="1">
      <alignment horizontal="center" vertical="center"/>
    </xf>
    <xf numFmtId="1" fontId="2" fillId="0" borderId="35" xfId="0" applyNumberFormat="1" applyFont="1" applyBorder="1" applyAlignment="1">
      <alignment horizontal="center" vertical="center"/>
    </xf>
    <xf numFmtId="1" fontId="2" fillId="0" borderId="19" xfId="0" applyNumberFormat="1" applyFont="1" applyBorder="1" applyAlignment="1">
      <alignment horizontal="center" vertical="center"/>
    </xf>
    <xf numFmtId="1" fontId="2" fillId="0" borderId="15" xfId="0" applyNumberFormat="1" applyFont="1" applyBorder="1" applyAlignment="1">
      <alignment horizontal="center" vertical="center"/>
    </xf>
    <xf numFmtId="1" fontId="2" fillId="0" borderId="54" xfId="0" applyNumberFormat="1" applyFont="1" applyBorder="1" applyAlignment="1">
      <alignment horizontal="center" vertical="center"/>
    </xf>
    <xf numFmtId="0" fontId="2" fillId="0" borderId="13"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8" xfId="0" applyFont="1" applyBorder="1" applyAlignment="1">
      <alignment horizontal="center" vertical="center"/>
    </xf>
    <xf numFmtId="0" fontId="2" fillId="0" borderId="40" xfId="0" applyFont="1" applyBorder="1" applyAlignment="1">
      <alignment horizontal="center" vertical="center"/>
    </xf>
    <xf numFmtId="0" fontId="2" fillId="0" borderId="30" xfId="0" applyFont="1" applyBorder="1" applyAlignment="1">
      <alignment horizontal="center" vertical="center"/>
    </xf>
    <xf numFmtId="0" fontId="2" fillId="0" borderId="39" xfId="0" applyFont="1" applyBorder="1" applyAlignment="1">
      <alignment horizontal="center" vertical="center"/>
    </xf>
    <xf numFmtId="0" fontId="2" fillId="0" borderId="11" xfId="0" applyFont="1" applyBorder="1" applyAlignment="1">
      <alignment horizontal="center" vertical="center"/>
    </xf>
    <xf numFmtId="0" fontId="2" fillId="0" borderId="41" xfId="0" applyFont="1" applyBorder="1" applyAlignment="1">
      <alignment horizontal="center" vertical="center"/>
    </xf>
    <xf numFmtId="0" fontId="4" fillId="0" borderId="28" xfId="0" applyFont="1" applyBorder="1" applyAlignment="1">
      <alignment horizontal="center" vertical="center"/>
    </xf>
    <xf numFmtId="0" fontId="3" fillId="0" borderId="3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9" xfId="0" applyFont="1" applyBorder="1" applyAlignment="1">
      <alignment horizontal="center" vertical="center" wrapText="1"/>
    </xf>
    <xf numFmtId="0" fontId="4" fillId="0" borderId="0" xfId="0" applyFont="1" applyBorder="1" applyAlignment="1">
      <alignment horizontal="center"/>
    </xf>
    <xf numFmtId="0" fontId="3" fillId="0" borderId="30" xfId="0" applyFont="1" applyBorder="1" applyAlignment="1">
      <alignment horizontal="center" vertical="center"/>
    </xf>
    <xf numFmtId="0" fontId="3" fillId="0" borderId="8" xfId="0" applyFont="1" applyBorder="1" applyAlignment="1">
      <alignment horizontal="center" vertical="center"/>
    </xf>
    <xf numFmtId="0" fontId="3" fillId="0" borderId="60" xfId="0" applyFont="1" applyBorder="1" applyAlignment="1">
      <alignment horizontal="center" vertical="center" wrapText="1"/>
    </xf>
    <xf numFmtId="0" fontId="3" fillId="0" borderId="56" xfId="0" applyFont="1" applyBorder="1" applyAlignment="1">
      <alignment horizontal="center" vertical="center" wrapText="1"/>
    </xf>
    <xf numFmtId="2" fontId="2" fillId="0" borderId="53" xfId="0" applyNumberFormat="1" applyFont="1" applyBorder="1" applyAlignment="1">
      <alignment horizontal="center" vertical="center"/>
    </xf>
    <xf numFmtId="2" fontId="2" fillId="0" borderId="36" xfId="0" applyNumberFormat="1" applyFont="1" applyBorder="1" applyAlignment="1">
      <alignment horizontal="center" vertical="center"/>
    </xf>
    <xf numFmtId="2" fontId="2" fillId="0" borderId="34" xfId="0" applyNumberFormat="1" applyFont="1" applyBorder="1" applyAlignment="1">
      <alignment horizontal="center" vertical="center"/>
    </xf>
    <xf numFmtId="2" fontId="2" fillId="0" borderId="24" xfId="0" applyNumberFormat="1" applyFont="1" applyBorder="1" applyAlignment="1">
      <alignment horizontal="center" vertical="center"/>
    </xf>
    <xf numFmtId="2" fontId="2" fillId="0" borderId="0" xfId="0" applyNumberFormat="1" applyFont="1" applyBorder="1" applyAlignment="1">
      <alignment horizontal="center" vertical="center"/>
    </xf>
    <xf numFmtId="2" fontId="2" fillId="0" borderId="35" xfId="0" applyNumberFormat="1" applyFont="1" applyBorder="1" applyAlignment="1">
      <alignment horizontal="center" vertical="center"/>
    </xf>
    <xf numFmtId="2" fontId="2" fillId="0" borderId="19" xfId="0" applyNumberFormat="1" applyFont="1" applyBorder="1" applyAlignment="1">
      <alignment horizontal="center" vertical="center"/>
    </xf>
    <xf numFmtId="2" fontId="2" fillId="0" borderId="15" xfId="0" applyNumberFormat="1" applyFont="1" applyBorder="1" applyAlignment="1">
      <alignment horizontal="center" vertical="center"/>
    </xf>
    <xf numFmtId="2" fontId="2" fillId="0" borderId="54" xfId="0" applyNumberFormat="1" applyFont="1" applyBorder="1" applyAlignment="1">
      <alignment horizontal="center" vertical="center"/>
    </xf>
    <xf numFmtId="0" fontId="3" fillId="0" borderId="30" xfId="0" applyFont="1" applyFill="1" applyBorder="1" applyAlignment="1">
      <alignment horizontal="center" vertical="center"/>
    </xf>
    <xf numFmtId="0" fontId="3" fillId="0" borderId="8" xfId="0" applyFont="1" applyFill="1" applyBorder="1" applyAlignment="1">
      <alignment horizontal="center" vertical="center"/>
    </xf>
    <xf numFmtId="164" fontId="2" fillId="0" borderId="53" xfId="1" applyNumberFormat="1" applyFont="1" applyFill="1" applyBorder="1" applyAlignment="1">
      <alignment horizontal="center" vertical="center"/>
    </xf>
    <xf numFmtId="164" fontId="2" fillId="0" borderId="36" xfId="1" applyNumberFormat="1" applyFont="1" applyFill="1" applyBorder="1" applyAlignment="1">
      <alignment horizontal="center" vertical="center"/>
    </xf>
    <xf numFmtId="164" fontId="2" fillId="0" borderId="34" xfId="1" applyNumberFormat="1" applyFont="1" applyFill="1" applyBorder="1" applyAlignment="1">
      <alignment horizontal="center" vertical="center"/>
    </xf>
    <xf numFmtId="164" fontId="2" fillId="0" borderId="24" xfId="1" applyNumberFormat="1" applyFont="1" applyFill="1" applyBorder="1" applyAlignment="1">
      <alignment horizontal="center" vertical="center"/>
    </xf>
    <xf numFmtId="164" fontId="2" fillId="0" borderId="0" xfId="1" applyNumberFormat="1" applyFont="1" applyFill="1" applyBorder="1" applyAlignment="1">
      <alignment horizontal="center" vertical="center"/>
    </xf>
    <xf numFmtId="164" fontId="2" fillId="0" borderId="35" xfId="1" applyNumberFormat="1" applyFont="1" applyFill="1" applyBorder="1" applyAlignment="1">
      <alignment horizontal="center" vertical="center"/>
    </xf>
    <xf numFmtId="164" fontId="2" fillId="0" borderId="19" xfId="1" applyNumberFormat="1" applyFont="1" applyFill="1" applyBorder="1" applyAlignment="1">
      <alignment horizontal="center" vertical="center"/>
    </xf>
    <xf numFmtId="164" fontId="2" fillId="0" borderId="15" xfId="1" applyNumberFormat="1" applyFont="1" applyFill="1" applyBorder="1" applyAlignment="1">
      <alignment horizontal="center" vertical="center"/>
    </xf>
    <xf numFmtId="164" fontId="2" fillId="0" borderId="54" xfId="1" applyNumberFormat="1" applyFont="1" applyFill="1" applyBorder="1" applyAlignment="1">
      <alignment horizontal="center" vertical="center"/>
    </xf>
    <xf numFmtId="0" fontId="3" fillId="0" borderId="45"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4" fillId="0" borderId="0" xfId="0" applyFont="1" applyAlignment="1">
      <alignment horizontal="center"/>
    </xf>
    <xf numFmtId="0" fontId="4" fillId="0" borderId="28" xfId="0" applyFont="1" applyBorder="1" applyAlignment="1">
      <alignment horizontal="center"/>
    </xf>
    <xf numFmtId="0" fontId="3" fillId="3" borderId="45"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4" fillId="0" borderId="0" xfId="0" applyFont="1" applyAlignment="1">
      <alignment horizontal="center" vertical="center" wrapText="1"/>
    </xf>
    <xf numFmtId="0" fontId="4" fillId="0" borderId="28" xfId="0" applyFont="1" applyBorder="1" applyAlignment="1">
      <alignment horizontal="center" vertical="center" wrapText="1"/>
    </xf>
    <xf numFmtId="1" fontId="2" fillId="0" borderId="64" xfId="0" applyNumberFormat="1" applyFont="1" applyBorder="1" applyAlignment="1">
      <alignment horizontal="center" vertical="center" wrapText="1"/>
    </xf>
    <xf numFmtId="1" fontId="2" fillId="0" borderId="34" xfId="0" applyNumberFormat="1" applyFont="1" applyBorder="1" applyAlignment="1">
      <alignment horizontal="center" vertical="center" wrapText="1"/>
    </xf>
    <xf numFmtId="1" fontId="2" fillId="0" borderId="33" xfId="0" applyNumberFormat="1" applyFont="1" applyBorder="1" applyAlignment="1">
      <alignment horizontal="center" vertical="center" wrapText="1"/>
    </xf>
    <xf numFmtId="1" fontId="2" fillId="0" borderId="35" xfId="0" applyNumberFormat="1" applyFont="1" applyBorder="1" applyAlignment="1">
      <alignment horizontal="center" vertical="center" wrapText="1"/>
    </xf>
    <xf numFmtId="1" fontId="2" fillId="0" borderId="66" xfId="0" applyNumberFormat="1" applyFont="1" applyBorder="1" applyAlignment="1">
      <alignment horizontal="center" vertical="center" wrapText="1"/>
    </xf>
    <xf numFmtId="1" fontId="2" fillId="0" borderId="54" xfId="0" applyNumberFormat="1" applyFont="1" applyBorder="1" applyAlignment="1">
      <alignment horizontal="center" vertical="center" wrapText="1"/>
    </xf>
    <xf numFmtId="1" fontId="2" fillId="0" borderId="53" xfId="0" applyNumberFormat="1" applyFont="1" applyBorder="1" applyAlignment="1">
      <alignment horizontal="center" vertical="center" wrapText="1"/>
    </xf>
    <xf numFmtId="1" fontId="2" fillId="0" borderId="24" xfId="0" applyNumberFormat="1" applyFont="1" applyBorder="1" applyAlignment="1">
      <alignment horizontal="center" vertical="center" wrapText="1"/>
    </xf>
    <xf numFmtId="1" fontId="2" fillId="0" borderId="19" xfId="0" applyNumberFormat="1" applyFont="1" applyBorder="1" applyAlignment="1">
      <alignment horizontal="center" vertical="center" wrapText="1"/>
    </xf>
    <xf numFmtId="0" fontId="3" fillId="0" borderId="26" xfId="0" applyFont="1" applyBorder="1" applyAlignment="1">
      <alignment horizontal="center" vertical="center" wrapText="1"/>
    </xf>
    <xf numFmtId="0" fontId="3" fillId="0" borderId="49" xfId="0" applyFont="1" applyBorder="1" applyAlignment="1">
      <alignment horizontal="center" vertical="center" wrapText="1"/>
    </xf>
    <xf numFmtId="0" fontId="3" fillId="4" borderId="30"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4" borderId="13"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2" borderId="17" xfId="0" applyFont="1" applyFill="1" applyBorder="1" applyAlignment="1">
      <alignment horizontal="center" vertical="center"/>
    </xf>
    <xf numFmtId="0" fontId="2" fillId="0" borderId="0" xfId="0" applyFont="1" applyFill="1" applyBorder="1" applyAlignment="1">
      <alignment horizontal="center" wrapText="1"/>
    </xf>
    <xf numFmtId="0" fontId="2" fillId="0" borderId="16" xfId="0" applyFont="1" applyFill="1" applyBorder="1" applyAlignment="1">
      <alignment horizontal="center"/>
    </xf>
    <xf numFmtId="1" fontId="2" fillId="0" borderId="16" xfId="0" applyNumberFormat="1" applyFont="1" applyFill="1" applyBorder="1" applyAlignment="1">
      <alignment horizontal="center"/>
    </xf>
    <xf numFmtId="1" fontId="2" fillId="0" borderId="16" xfId="0" applyNumberFormat="1" applyFont="1" applyFill="1" applyBorder="1" applyAlignment="1"/>
    <xf numFmtId="1" fontId="2" fillId="0" borderId="67" xfId="0" applyNumberFormat="1" applyFont="1" applyFill="1" applyBorder="1" applyAlignment="1">
      <alignment horizontal="center"/>
    </xf>
    <xf numFmtId="1" fontId="2" fillId="0" borderId="0" xfId="0" applyNumberFormat="1" applyFont="1" applyFill="1" applyBorder="1" applyAlignment="1">
      <alignment horizontal="center"/>
    </xf>
    <xf numFmtId="1" fontId="2" fillId="0" borderId="0" xfId="0" applyNumberFormat="1" applyFont="1" applyFill="1" applyBorder="1" applyAlignment="1"/>
    <xf numFmtId="1" fontId="2" fillId="0" borderId="35" xfId="0" applyNumberFormat="1"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xf numFmtId="1" fontId="2" fillId="0" borderId="15" xfId="0" applyNumberFormat="1" applyFont="1" applyFill="1" applyBorder="1" applyAlignment="1">
      <alignment horizontal="center"/>
    </xf>
    <xf numFmtId="1" fontId="5" fillId="0" borderId="15" xfId="0" applyNumberFormat="1" applyFont="1" applyFill="1" applyBorder="1" applyAlignment="1">
      <alignment horizontal="center"/>
    </xf>
    <xf numFmtId="1" fontId="5" fillId="0" borderId="15" xfId="0" applyNumberFormat="1" applyFont="1" applyFill="1" applyBorder="1" applyAlignment="1"/>
    <xf numFmtId="1" fontId="2" fillId="0" borderId="54" xfId="0" applyNumberFormat="1" applyFont="1" applyFill="1" applyBorder="1" applyAlignment="1">
      <alignment horizontal="center"/>
    </xf>
    <xf numFmtId="164" fontId="2" fillId="0" borderId="7" xfId="0" applyNumberFormat="1" applyFont="1" applyBorder="1" applyAlignment="1">
      <alignment horizontal="center" vertical="center"/>
    </xf>
    <xf numFmtId="164" fontId="2" fillId="0" borderId="9" xfId="0" applyNumberFormat="1" applyFont="1" applyBorder="1" applyAlignment="1">
      <alignment horizontal="center" vertical="center"/>
    </xf>
    <xf numFmtId="164" fontId="2" fillId="3" borderId="44" xfId="0" applyNumberFormat="1" applyFont="1" applyFill="1" applyBorder="1" applyAlignment="1">
      <alignment horizontal="center" vertical="center"/>
    </xf>
    <xf numFmtId="164" fontId="2" fillId="3" borderId="37" xfId="0" applyNumberFormat="1" applyFont="1" applyFill="1" applyBorder="1" applyAlignment="1">
      <alignment horizontal="center" vertical="center"/>
    </xf>
    <xf numFmtId="164" fontId="2" fillId="0" borderId="0" xfId="0" applyNumberFormat="1" applyFont="1" applyAlignment="1">
      <alignment horizontal="center" vertical="center"/>
    </xf>
    <xf numFmtId="0" fontId="2" fillId="0" borderId="0" xfId="0" applyFont="1" applyFill="1" applyAlignment="1">
      <alignment horizontal="center" vertical="center"/>
    </xf>
    <xf numFmtId="0" fontId="2" fillId="0" borderId="0" xfId="0" applyNumberFormat="1" applyFont="1" applyAlignment="1">
      <alignment horizontal="center" vertical="center"/>
    </xf>
    <xf numFmtId="0" fontId="3" fillId="0" borderId="39"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0" xfId="0" applyFont="1" applyBorder="1" applyAlignment="1">
      <alignment horizontal="center" vertical="center"/>
    </xf>
    <xf numFmtId="0" fontId="3" fillId="0" borderId="9" xfId="0" applyFont="1" applyBorder="1" applyAlignment="1">
      <alignment horizontal="center" vertical="center"/>
    </xf>
    <xf numFmtId="0" fontId="3" fillId="0" borderId="40" xfId="0" applyFont="1" applyFill="1" applyBorder="1" applyAlignment="1">
      <alignment horizontal="center" vertical="center"/>
    </xf>
    <xf numFmtId="0" fontId="3" fillId="0" borderId="9" xfId="0" applyFont="1" applyFill="1" applyBorder="1" applyAlignment="1">
      <alignment horizontal="center" vertical="center"/>
    </xf>
    <xf numFmtId="0" fontId="2" fillId="0" borderId="30" xfId="0" applyFont="1" applyFill="1" applyBorder="1" applyAlignment="1">
      <alignment horizontal="center" vertical="center"/>
    </xf>
    <xf numFmtId="164" fontId="2" fillId="0" borderId="2" xfId="0" applyNumberFormat="1" applyFont="1" applyFill="1" applyBorder="1" applyAlignment="1">
      <alignment horizontal="center" vertical="center"/>
    </xf>
    <xf numFmtId="164" fontId="2" fillId="3" borderId="2" xfId="0" applyNumberFormat="1" applyFont="1" applyFill="1" applyBorder="1" applyAlignment="1">
      <alignment horizontal="center" vertical="center"/>
    </xf>
    <xf numFmtId="0" fontId="2" fillId="0" borderId="6" xfId="0"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2" fillId="3" borderId="3"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167" fontId="2" fillId="0" borderId="1" xfId="0" applyNumberFormat="1" applyFont="1" applyBorder="1" applyAlignment="1">
      <alignment horizontal="center" vertical="center"/>
    </xf>
    <xf numFmtId="167" fontId="2" fillId="0" borderId="7" xfId="0" applyNumberFormat="1" applyFont="1" applyBorder="1" applyAlignment="1">
      <alignment horizontal="center" vertical="center"/>
    </xf>
    <xf numFmtId="164" fontId="2" fillId="0" borderId="1" xfId="1"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164" fontId="2" fillId="0" borderId="7" xfId="0" applyNumberFormat="1" applyFont="1" applyFill="1" applyBorder="1" applyAlignment="1">
      <alignment horizontal="center" vertical="center"/>
    </xf>
    <xf numFmtId="167" fontId="2" fillId="0" borderId="40" xfId="0" applyNumberFormat="1" applyFont="1" applyBorder="1" applyAlignment="1">
      <alignment horizontal="center" vertical="center"/>
    </xf>
    <xf numFmtId="167" fontId="2" fillId="0" borderId="9" xfId="0" applyNumberFormat="1" applyFont="1" applyBorder="1" applyAlignment="1">
      <alignment horizontal="center" vertical="center"/>
    </xf>
    <xf numFmtId="0" fontId="2" fillId="0" borderId="8" xfId="0" applyFont="1" applyFill="1" applyBorder="1" applyAlignment="1">
      <alignment horizontal="center" vertical="center"/>
    </xf>
    <xf numFmtId="164" fontId="2" fillId="0" borderId="40" xfId="1" applyNumberFormat="1" applyFont="1" applyFill="1" applyBorder="1" applyAlignment="1">
      <alignment horizontal="center" vertical="center"/>
    </xf>
    <xf numFmtId="164" fontId="2" fillId="0" borderId="40"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4" xfId="0" applyNumberFormat="1" applyFont="1" applyFill="1" applyBorder="1" applyAlignment="1">
      <alignment horizontal="center" vertical="center"/>
    </xf>
    <xf numFmtId="164" fontId="2" fillId="3" borderId="4" xfId="0" applyNumberFormat="1" applyFont="1" applyFill="1" applyBorder="1" applyAlignment="1">
      <alignment horizontal="center" vertical="center"/>
    </xf>
    <xf numFmtId="164" fontId="4" fillId="0" borderId="36"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164" fontId="4" fillId="0" borderId="36" xfId="0" applyNumberFormat="1" applyFont="1" applyBorder="1" applyAlignment="1">
      <alignment horizontal="center" vertical="center"/>
    </xf>
    <xf numFmtId="164" fontId="4" fillId="0" borderId="0" xfId="0" applyNumberFormat="1" applyFont="1" applyBorder="1" applyAlignment="1">
      <alignment horizontal="center" vertical="center"/>
    </xf>
    <xf numFmtId="2" fontId="2" fillId="0" borderId="40" xfId="0" applyNumberFormat="1" applyFont="1" applyBorder="1" applyAlignment="1">
      <alignment horizontal="center" vertical="center"/>
    </xf>
    <xf numFmtId="0" fontId="2" fillId="0" borderId="55" xfId="0" applyFont="1" applyBorder="1" applyAlignment="1">
      <alignment horizontal="center" vertical="center" wrapText="1"/>
    </xf>
    <xf numFmtId="0" fontId="2" fillId="0" borderId="0" xfId="0" applyFont="1" applyAlignment="1">
      <alignment vertical="center" wrapText="1"/>
    </xf>
    <xf numFmtId="167" fontId="5" fillId="0" borderId="39" xfId="0" applyNumberFormat="1" applyFont="1" applyBorder="1" applyAlignment="1">
      <alignment horizontal="center" vertical="center"/>
    </xf>
    <xf numFmtId="165" fontId="5" fillId="0" borderId="39" xfId="0" applyNumberFormat="1" applyFont="1" applyBorder="1" applyAlignment="1">
      <alignment horizontal="center" vertical="center"/>
    </xf>
    <xf numFmtId="164" fontId="2" fillId="0" borderId="39" xfId="1" applyNumberFormat="1" applyFont="1" applyBorder="1" applyAlignment="1">
      <alignment horizontal="center" vertical="center"/>
    </xf>
    <xf numFmtId="164" fontId="2" fillId="0" borderId="31" xfId="1" applyNumberFormat="1" applyFont="1" applyBorder="1" applyAlignment="1">
      <alignment horizontal="center" vertical="center"/>
    </xf>
    <xf numFmtId="167" fontId="5" fillId="0" borderId="39" xfId="0" applyNumberFormat="1" applyFont="1" applyFill="1" applyBorder="1" applyAlignment="1">
      <alignment horizontal="center" vertical="center"/>
    </xf>
    <xf numFmtId="167"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4" fontId="2" fillId="0" borderId="1" xfId="1" applyNumberFormat="1" applyFont="1" applyBorder="1" applyAlignment="1">
      <alignment horizontal="center" vertical="center"/>
    </xf>
    <xf numFmtId="164" fontId="2" fillId="0" borderId="7" xfId="1" applyNumberFormat="1" applyFont="1" applyBorder="1" applyAlignment="1">
      <alignment horizontal="center" vertical="center"/>
    </xf>
    <xf numFmtId="167" fontId="5" fillId="0" borderId="1" xfId="0" applyNumberFormat="1" applyFont="1" applyFill="1" applyBorder="1" applyAlignment="1">
      <alignment horizontal="center" vertical="center"/>
    </xf>
    <xf numFmtId="0" fontId="2" fillId="0" borderId="8" xfId="0" applyFont="1" applyBorder="1" applyAlignment="1">
      <alignment horizontal="center" vertical="center" wrapText="1"/>
    </xf>
    <xf numFmtId="0" fontId="2" fillId="0" borderId="36" xfId="0" applyFont="1" applyBorder="1" applyAlignment="1">
      <alignment horizontal="left" vertical="center"/>
    </xf>
    <xf numFmtId="165" fontId="2" fillId="0" borderId="0" xfId="0" applyNumberFormat="1" applyFont="1" applyAlignment="1">
      <alignment horizontal="center" vertical="center"/>
    </xf>
    <xf numFmtId="2" fontId="5" fillId="0" borderId="30" xfId="0" applyNumberFormat="1" applyFont="1" applyBorder="1" applyAlignment="1">
      <alignment horizontal="center" vertical="center"/>
    </xf>
    <xf numFmtId="2" fontId="5" fillId="0" borderId="39" xfId="0" applyNumberFormat="1" applyFont="1" applyBorder="1" applyAlignment="1">
      <alignment horizontal="center" vertical="center"/>
    </xf>
    <xf numFmtId="0" fontId="5" fillId="0" borderId="31" xfId="0" applyFont="1" applyBorder="1" applyAlignment="1">
      <alignment horizontal="center" vertical="center"/>
    </xf>
    <xf numFmtId="2" fontId="5" fillId="0" borderId="30" xfId="0" applyNumberFormat="1" applyFont="1" applyFill="1" applyBorder="1" applyAlignment="1">
      <alignment horizontal="center" vertical="center"/>
    </xf>
    <xf numFmtId="2" fontId="5" fillId="0" borderId="36" xfId="0" applyNumberFormat="1" applyFont="1" applyFill="1" applyBorder="1" applyAlignment="1">
      <alignment horizontal="center" vertical="center"/>
    </xf>
    <xf numFmtId="0" fontId="5" fillId="0" borderId="31" xfId="0" applyFont="1" applyFill="1" applyBorder="1" applyAlignment="1">
      <alignment horizontal="center" vertical="center"/>
    </xf>
    <xf numFmtId="0" fontId="3" fillId="0" borderId="12" xfId="0" applyFont="1" applyBorder="1" applyAlignment="1">
      <alignment horizontal="center" vertical="center"/>
    </xf>
    <xf numFmtId="0" fontId="5" fillId="0" borderId="6" xfId="0" applyFont="1" applyBorder="1" applyAlignment="1">
      <alignment horizontal="center" vertical="center"/>
    </xf>
    <xf numFmtId="2" fontId="5" fillId="0" borderId="1" xfId="0" applyNumberFormat="1" applyFont="1" applyBorder="1" applyAlignment="1">
      <alignment horizontal="center" vertical="center"/>
    </xf>
    <xf numFmtId="0" fontId="5" fillId="0" borderId="7" xfId="0" applyFont="1" applyBorder="1" applyAlignment="1">
      <alignment horizontal="center" vertical="center"/>
    </xf>
    <xf numFmtId="0" fontId="5" fillId="0" borderId="6" xfId="0" applyFont="1" applyFill="1" applyBorder="1" applyAlignment="1">
      <alignment horizontal="center" vertical="center"/>
    </xf>
    <xf numFmtId="2" fontId="5" fillId="0" borderId="1"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2" fillId="0" borderId="57" xfId="0" applyFont="1" applyBorder="1" applyAlignment="1">
      <alignment horizontal="center" vertical="center"/>
    </xf>
    <xf numFmtId="0" fontId="2" fillId="0" borderId="56" xfId="0" applyFont="1" applyBorder="1" applyAlignment="1">
      <alignment horizontal="center" vertical="center"/>
    </xf>
    <xf numFmtId="0" fontId="2" fillId="0" borderId="56" xfId="0" applyFont="1" applyBorder="1" applyAlignment="1">
      <alignment horizontal="center" vertical="center"/>
    </xf>
    <xf numFmtId="0" fontId="2" fillId="0" borderId="58" xfId="0" applyFont="1" applyBorder="1" applyAlignment="1">
      <alignment horizontal="center" vertical="center"/>
    </xf>
    <xf numFmtId="0" fontId="2" fillId="0" borderId="28" xfId="0" applyFont="1" applyBorder="1" applyAlignment="1">
      <alignment horizontal="center" vertical="center"/>
    </xf>
    <xf numFmtId="0" fontId="2" fillId="0" borderId="59" xfId="0" applyFont="1" applyBorder="1" applyAlignment="1">
      <alignment horizontal="center" vertical="center"/>
    </xf>
    <xf numFmtId="0" fontId="2" fillId="0" borderId="36" xfId="0" applyFont="1" applyBorder="1" applyAlignment="1">
      <alignment horizontal="left" vertical="center" wrapText="1"/>
    </xf>
    <xf numFmtId="0" fontId="2" fillId="0" borderId="0" xfId="0" applyFont="1" applyBorder="1" applyAlignment="1">
      <alignment horizontal="left" vertical="center" wrapText="1"/>
    </xf>
    <xf numFmtId="0" fontId="5" fillId="0" borderId="8" xfId="0" applyFont="1" applyBorder="1" applyAlignment="1">
      <alignment horizontal="center" vertical="center"/>
    </xf>
    <xf numFmtId="0" fontId="5" fillId="0" borderId="40" xfId="0" applyFont="1" applyBorder="1" applyAlignment="1">
      <alignment horizontal="center" vertical="center"/>
    </xf>
    <xf numFmtId="2" fontId="5" fillId="0" borderId="9" xfId="0" applyNumberFormat="1" applyFont="1" applyBorder="1" applyAlignment="1">
      <alignment horizontal="center" vertical="center"/>
    </xf>
    <xf numFmtId="0" fontId="5" fillId="0" borderId="1" xfId="0" applyFont="1" applyFill="1" applyBorder="1" applyAlignment="1">
      <alignment horizontal="center" vertical="center"/>
    </xf>
    <xf numFmtId="2" fontId="5" fillId="0" borderId="7" xfId="0" applyNumberFormat="1" applyFont="1" applyFill="1" applyBorder="1" applyAlignment="1">
      <alignment horizontal="center" vertical="center"/>
    </xf>
    <xf numFmtId="0" fontId="2" fillId="0" borderId="33" xfId="0" applyFont="1" applyBorder="1" applyAlignment="1">
      <alignment horizontal="center" vertical="center"/>
    </xf>
    <xf numFmtId="164" fontId="2" fillId="0" borderId="1" xfId="1" applyNumberFormat="1" applyFont="1" applyFill="1" applyBorder="1" applyAlignment="1">
      <alignment vertical="center"/>
    </xf>
    <xf numFmtId="164" fontId="4" fillId="0" borderId="36" xfId="0" applyNumberFormat="1" applyFont="1" applyFill="1" applyBorder="1" applyAlignment="1">
      <alignment vertical="center"/>
    </xf>
    <xf numFmtId="164" fontId="2" fillId="0" borderId="31" xfId="1" applyNumberFormat="1" applyFont="1" applyBorder="1" applyAlignment="1">
      <alignment vertical="center"/>
    </xf>
    <xf numFmtId="164" fontId="2" fillId="0" borderId="1" xfId="1" applyNumberFormat="1" applyFont="1" applyBorder="1" applyAlignment="1">
      <alignment vertical="center"/>
    </xf>
    <xf numFmtId="164" fontId="2" fillId="0" borderId="7" xfId="1" applyNumberFormat="1" applyFont="1" applyBorder="1" applyAlignment="1">
      <alignment vertical="center"/>
    </xf>
    <xf numFmtId="0" fontId="6" fillId="0" borderId="36" xfId="0" applyFont="1" applyBorder="1" applyAlignment="1">
      <alignment horizontal="center" vertical="center" wrapText="1"/>
    </xf>
    <xf numFmtId="0" fontId="2" fillId="0" borderId="3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6" xfId="0" applyFont="1" applyBorder="1" applyAlignment="1">
      <alignment horizontal="center" vertical="center" wrapText="1"/>
    </xf>
    <xf numFmtId="0" fontId="2" fillId="0" borderId="0" xfId="0" applyNumberFormat="1" applyFont="1" applyBorder="1" applyAlignment="1">
      <alignment horizontal="center" vertical="center"/>
    </xf>
    <xf numFmtId="0" fontId="2" fillId="0" borderId="16" xfId="0" applyFont="1" applyBorder="1" applyAlignment="1">
      <alignment horizontal="left" vertical="center" wrapText="1"/>
    </xf>
    <xf numFmtId="0" fontId="2" fillId="0" borderId="0" xfId="0" applyFont="1"/>
    <xf numFmtId="0" fontId="2" fillId="0" borderId="0" xfId="0" applyFont="1" applyAlignment="1">
      <alignment horizontal="center" vertical="center" wrapText="1"/>
    </xf>
    <xf numFmtId="164" fontId="2" fillId="0" borderId="0" xfId="0" applyNumberFormat="1" applyFont="1"/>
    <xf numFmtId="0" fontId="2" fillId="0" borderId="0" xfId="0" applyFont="1" applyAlignment="1">
      <alignment horizontal="right"/>
    </xf>
    <xf numFmtId="0" fontId="4" fillId="0" borderId="0" xfId="0" applyFont="1" applyAlignment="1">
      <alignment horizontal="right"/>
    </xf>
    <xf numFmtId="0" fontId="2" fillId="0" borderId="0" xfId="0" applyFont="1" applyFill="1"/>
    <xf numFmtId="0" fontId="2" fillId="0" borderId="0" xfId="0" applyFont="1" applyFill="1" applyAlignment="1">
      <alignment horizontal="right"/>
    </xf>
    <xf numFmtId="164" fontId="2" fillId="2" borderId="7" xfId="1" applyNumberFormat="1" applyFont="1" applyFill="1" applyBorder="1"/>
    <xf numFmtId="164" fontId="2" fillId="2" borderId="9" xfId="1" applyNumberFormat="1" applyFont="1" applyFill="1" applyBorder="1"/>
    <xf numFmtId="0" fontId="3" fillId="3" borderId="42" xfId="0" applyFont="1" applyFill="1" applyBorder="1" applyAlignment="1">
      <alignment horizontal="center" vertical="center" wrapText="1"/>
    </xf>
    <xf numFmtId="0" fontId="3" fillId="0" borderId="11" xfId="0" applyFont="1" applyBorder="1" applyAlignment="1">
      <alignment horizontal="center" vertical="center" wrapText="1"/>
    </xf>
    <xf numFmtId="0" fontId="2" fillId="0" borderId="0" xfId="0" applyFont="1" applyAlignment="1">
      <alignment horizontal="center" vertical="center"/>
    </xf>
    <xf numFmtId="0" fontId="3" fillId="0" borderId="4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30" xfId="0" applyFont="1" applyBorder="1" applyAlignment="1">
      <alignment horizontal="center" vertical="center"/>
    </xf>
    <xf numFmtId="0" fontId="2" fillId="0" borderId="6" xfId="0" applyFont="1" applyBorder="1" applyAlignment="1">
      <alignment horizontal="center" vertical="center"/>
    </xf>
    <xf numFmtId="1" fontId="2" fillId="0" borderId="1"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8" xfId="0" applyFont="1" applyBorder="1" applyAlignment="1">
      <alignment horizontal="center" vertical="center"/>
    </xf>
    <xf numFmtId="1" fontId="2" fillId="0" borderId="40" xfId="0" applyNumberFormat="1" applyFont="1" applyBorder="1" applyAlignment="1">
      <alignment horizontal="center" vertical="center"/>
    </xf>
    <xf numFmtId="1" fontId="2" fillId="0" borderId="9" xfId="0" applyNumberFormat="1" applyFont="1" applyBorder="1" applyAlignment="1">
      <alignment horizontal="center" vertical="center"/>
    </xf>
    <xf numFmtId="0" fontId="2" fillId="0" borderId="0" xfId="0" applyFont="1" applyBorder="1" applyAlignment="1">
      <alignment horizontal="center" vertical="center" wrapText="1"/>
    </xf>
    <xf numFmtId="9" fontId="2" fillId="0" borderId="12" xfId="0" applyNumberFormat="1" applyFont="1" applyBorder="1" applyAlignment="1">
      <alignment horizontal="center" vertical="center"/>
    </xf>
    <xf numFmtId="0" fontId="4" fillId="0" borderId="0" xfId="0" applyFont="1" applyAlignment="1">
      <alignment horizontal="center" vertical="center"/>
    </xf>
    <xf numFmtId="0" fontId="3" fillId="3" borderId="24" xfId="0" applyFont="1" applyFill="1" applyBorder="1" applyAlignment="1">
      <alignment horizontal="center" vertical="center" wrapText="1"/>
    </xf>
    <xf numFmtId="0" fontId="3" fillId="2" borderId="70" xfId="0" applyFont="1" applyFill="1" applyBorder="1" applyAlignment="1">
      <alignment horizontal="center" vertical="center"/>
    </xf>
    <xf numFmtId="0" fontId="3" fillId="3" borderId="32" xfId="0" applyFont="1" applyFill="1" applyBorder="1" applyAlignment="1">
      <alignment horizontal="center"/>
    </xf>
    <xf numFmtId="0" fontId="3" fillId="3" borderId="61" xfId="0" applyFont="1" applyFill="1" applyBorder="1" applyAlignment="1">
      <alignment horizontal="center"/>
    </xf>
    <xf numFmtId="0" fontId="3" fillId="3" borderId="51" xfId="0" applyFont="1" applyFill="1" applyBorder="1" applyAlignment="1">
      <alignment horizontal="center"/>
    </xf>
    <xf numFmtId="164" fontId="4"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28" xfId="0" applyFont="1" applyFill="1" applyBorder="1" applyAlignment="1">
      <alignment horizontal="center" vertical="center" wrapText="1"/>
    </xf>
    <xf numFmtId="165" fontId="2" fillId="0" borderId="0" xfId="0" applyNumberFormat="1" applyFont="1" applyAlignment="1">
      <alignment horizontal="center" vertical="center" wrapText="1"/>
    </xf>
    <xf numFmtId="0" fontId="11" fillId="0" borderId="0" xfId="0" applyFont="1" applyAlignment="1">
      <alignment horizontal="center" vertical="center" wrapText="1"/>
    </xf>
    <xf numFmtId="0" fontId="2" fillId="0" borderId="0" xfId="0" applyFont="1"/>
    <xf numFmtId="0" fontId="2" fillId="0" borderId="0" xfId="0" applyFont="1" applyAlignment="1">
      <alignment horizontal="center" vertical="center" wrapText="1"/>
    </xf>
    <xf numFmtId="164" fontId="2" fillId="0" borderId="0" xfId="0" applyNumberFormat="1" applyFont="1"/>
    <xf numFmtId="0" fontId="2" fillId="0" borderId="0" xfId="0" applyFont="1" applyFill="1"/>
    <xf numFmtId="164" fontId="2" fillId="3" borderId="1" xfId="1" applyNumberFormat="1" applyFont="1" applyFill="1" applyBorder="1"/>
    <xf numFmtId="164" fontId="2" fillId="3" borderId="39" xfId="1" applyNumberFormat="1" applyFont="1" applyFill="1" applyBorder="1"/>
    <xf numFmtId="164" fontId="2" fillId="3" borderId="40" xfId="1" applyNumberFormat="1" applyFont="1" applyFill="1" applyBorder="1"/>
    <xf numFmtId="0" fontId="3" fillId="3" borderId="42" xfId="0" applyFont="1" applyFill="1" applyBorder="1" applyAlignment="1">
      <alignment horizontal="center" vertical="center" wrapText="1"/>
    </xf>
    <xf numFmtId="164" fontId="2" fillId="0" borderId="39" xfId="1" applyNumberFormat="1" applyFont="1" applyBorder="1" applyAlignment="1">
      <alignment horizontal="center"/>
    </xf>
    <xf numFmtId="0" fontId="2" fillId="0" borderId="1" xfId="0" applyFont="1" applyBorder="1" applyAlignment="1">
      <alignment horizontal="center"/>
    </xf>
    <xf numFmtId="164" fontId="2" fillId="0" borderId="40" xfId="1" applyNumberFormat="1" applyFont="1" applyBorder="1" applyAlignment="1">
      <alignment horizontal="center"/>
    </xf>
    <xf numFmtId="0" fontId="2" fillId="0" borderId="0" xfId="0" applyFont="1" applyAlignment="1">
      <alignment horizontal="center" vertical="center"/>
    </xf>
    <xf numFmtId="0" fontId="3" fillId="0" borderId="12" xfId="0" applyFont="1" applyBorder="1" applyAlignment="1">
      <alignment horizontal="center" vertical="center" wrapText="1"/>
    </xf>
    <xf numFmtId="0" fontId="2" fillId="0" borderId="0" xfId="0" applyFont="1" applyAlignment="1">
      <alignment vertical="center"/>
    </xf>
    <xf numFmtId="0" fontId="2" fillId="0" borderId="30"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Fill="1" applyBorder="1" applyAlignment="1">
      <alignment horizontal="center" vertical="center"/>
    </xf>
    <xf numFmtId="1" fontId="2" fillId="0" borderId="1" xfId="0" applyNumberFormat="1" applyFont="1" applyFill="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3" fillId="0" borderId="11"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27"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Alignment="1">
      <alignment horizontal="center" vertical="center"/>
    </xf>
    <xf numFmtId="0" fontId="3" fillId="0" borderId="11" xfId="0" applyFont="1" applyFill="1" applyBorder="1" applyAlignment="1">
      <alignment horizontal="right" vertical="center"/>
    </xf>
    <xf numFmtId="0" fontId="3" fillId="0" borderId="41" xfId="0" applyFont="1" applyFill="1" applyBorder="1" applyAlignment="1">
      <alignment horizontal="center" vertical="center"/>
    </xf>
    <xf numFmtId="0" fontId="3" fillId="0" borderId="12" xfId="0" applyFont="1" applyFill="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1" xfId="0" applyFont="1" applyBorder="1" applyAlignment="1">
      <alignment horizontal="center" vertical="center"/>
    </xf>
    <xf numFmtId="0" fontId="2" fillId="0" borderId="10" xfId="0" applyFont="1" applyBorder="1" applyAlignment="1">
      <alignment horizontal="right" vertical="center"/>
    </xf>
    <xf numFmtId="174" fontId="2" fillId="0" borderId="42" xfId="1" applyNumberFormat="1" applyFont="1" applyBorder="1" applyAlignment="1">
      <alignment horizontal="center" vertical="center"/>
    </xf>
    <xf numFmtId="0" fontId="2" fillId="0" borderId="21" xfId="0" applyFont="1" applyBorder="1" applyAlignment="1">
      <alignment horizontal="left" vertical="center"/>
    </xf>
    <xf numFmtId="0" fontId="4" fillId="0" borderId="11" xfId="0" applyFont="1" applyFill="1" applyBorder="1" applyAlignment="1">
      <alignment horizontal="right" vertical="center"/>
    </xf>
    <xf numFmtId="174" fontId="4" fillId="0" borderId="41" xfId="1" applyNumberFormat="1" applyFont="1" applyFill="1" applyBorder="1" applyAlignment="1">
      <alignment horizontal="center" vertical="center"/>
    </xf>
    <xf numFmtId="0" fontId="4" fillId="0" borderId="12" xfId="0" applyFont="1" applyFill="1" applyBorder="1" applyAlignment="1">
      <alignment horizontal="left" vertical="center"/>
    </xf>
    <xf numFmtId="0" fontId="4" fillId="0" borderId="15" xfId="0" applyFont="1" applyFill="1" applyBorder="1" applyAlignment="1">
      <alignment horizontal="center" vertical="center" wrapText="1"/>
    </xf>
    <xf numFmtId="0" fontId="2" fillId="0" borderId="0" xfId="0" applyFont="1" applyFill="1" applyAlignment="1">
      <alignment horizontal="center" vertical="center" wrapText="1"/>
    </xf>
    <xf numFmtId="164" fontId="2" fillId="3" borderId="31" xfId="1" applyNumberFormat="1" applyFont="1" applyFill="1" applyBorder="1" applyAlignment="1">
      <alignment horizontal="center" vertical="center"/>
    </xf>
    <xf numFmtId="164" fontId="2" fillId="3" borderId="7" xfId="1" applyNumberFormat="1" applyFont="1" applyFill="1" applyBorder="1" applyAlignment="1">
      <alignment horizontal="center" vertical="center"/>
    </xf>
    <xf numFmtId="164" fontId="2" fillId="3" borderId="9" xfId="1" applyNumberFormat="1" applyFont="1" applyFill="1" applyBorder="1" applyAlignment="1">
      <alignment horizontal="center" vertical="center"/>
    </xf>
    <xf numFmtId="0" fontId="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2" xfId="0" applyFont="1" applyFill="1" applyBorder="1" applyAlignment="1">
      <alignment horizontal="center" vertical="center" wrapText="1"/>
    </xf>
    <xf numFmtId="164" fontId="4" fillId="0" borderId="0" xfId="1" applyNumberFormat="1" applyFont="1" applyBorder="1" applyAlignment="1">
      <alignment horizontal="center" vertical="center"/>
    </xf>
    <xf numFmtId="0" fontId="2" fillId="0" borderId="2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63" xfId="0" applyFont="1" applyFill="1" applyBorder="1" applyAlignment="1">
      <alignment horizontal="center" vertical="center" wrapText="1"/>
    </xf>
    <xf numFmtId="1" fontId="2" fillId="0" borderId="36" xfId="0" applyNumberFormat="1" applyFont="1" applyFill="1" applyBorder="1" applyAlignment="1">
      <alignment horizontal="center"/>
    </xf>
    <xf numFmtId="1" fontId="2" fillId="0" borderId="36" xfId="0" applyNumberFormat="1" applyFont="1" applyFill="1" applyBorder="1" applyAlignment="1"/>
    <xf numFmtId="1" fontId="2" fillId="0" borderId="34" xfId="0" applyNumberFormat="1" applyFont="1" applyFill="1" applyBorder="1" applyAlignment="1">
      <alignment horizontal="center"/>
    </xf>
    <xf numFmtId="1" fontId="2" fillId="0" borderId="15" xfId="0" applyNumberFormat="1" applyFont="1" applyFill="1" applyBorder="1" applyAlignment="1"/>
    <xf numFmtId="1" fontId="5" fillId="0" borderId="16" xfId="0" applyNumberFormat="1" applyFont="1" applyFill="1" applyBorder="1" applyAlignment="1">
      <alignment horizontal="center"/>
    </xf>
    <xf numFmtId="1" fontId="2" fillId="0" borderId="68" xfId="0" applyNumberFormat="1" applyFont="1" applyFill="1" applyBorder="1" applyAlignment="1">
      <alignment horizontal="center"/>
    </xf>
    <xf numFmtId="1" fontId="2" fillId="0" borderId="68" xfId="0" applyNumberFormat="1" applyFont="1" applyFill="1" applyBorder="1" applyAlignment="1"/>
    <xf numFmtId="1" fontId="2" fillId="0" borderId="44" xfId="0" applyNumberFormat="1" applyFont="1" applyFill="1" applyBorder="1" applyAlignment="1">
      <alignment horizontal="center"/>
    </xf>
    <xf numFmtId="1" fontId="2" fillId="0" borderId="28" xfId="0" applyNumberFormat="1" applyFont="1" applyFill="1" applyBorder="1" applyAlignment="1">
      <alignment horizontal="center"/>
    </xf>
    <xf numFmtId="167" fontId="5" fillId="0" borderId="28" xfId="0" applyNumberFormat="1" applyFont="1" applyFill="1" applyBorder="1" applyAlignment="1">
      <alignment horizontal="center"/>
    </xf>
    <xf numFmtId="2" fontId="5" fillId="0" borderId="28" xfId="0" applyNumberFormat="1" applyFont="1" applyFill="1" applyBorder="1" applyAlignment="1">
      <alignment horizontal="center"/>
    </xf>
    <xf numFmtId="1" fontId="5" fillId="0" borderId="28" xfId="0" applyNumberFormat="1" applyFont="1" applyFill="1" applyBorder="1" applyAlignment="1">
      <alignment horizontal="center"/>
    </xf>
    <xf numFmtId="1" fontId="5" fillId="0" borderId="28" xfId="0" applyNumberFormat="1" applyFont="1" applyFill="1" applyBorder="1" applyAlignment="1"/>
    <xf numFmtId="1" fontId="2" fillId="0" borderId="59" xfId="0" applyNumberFormat="1" applyFont="1" applyFill="1" applyBorder="1" applyAlignment="1">
      <alignment horizontal="center"/>
    </xf>
    <xf numFmtId="0" fontId="7" fillId="0" borderId="0" xfId="0" applyFont="1" applyFill="1" applyBorder="1" applyAlignment="1">
      <alignment horizontal="center"/>
    </xf>
    <xf numFmtId="0" fontId="7" fillId="0" borderId="0" xfId="0" applyFont="1" applyFill="1" applyBorder="1" applyAlignment="1"/>
    <xf numFmtId="0" fontId="2" fillId="0" borderId="0" xfId="0" applyFont="1" applyFill="1" applyBorder="1"/>
    <xf numFmtId="0" fontId="2" fillId="0" borderId="0" xfId="0" applyFont="1" applyFill="1" applyBorder="1" applyAlignment="1">
      <alignment horizontal="center" vertical="center"/>
    </xf>
    <xf numFmtId="167" fontId="4" fillId="0" borderId="0" xfId="0" applyNumberFormat="1" applyFont="1" applyFill="1" applyBorder="1" applyAlignment="1">
      <alignment horizontal="center"/>
    </xf>
    <xf numFmtId="167" fontId="3" fillId="0" borderId="41" xfId="0" applyNumberFormat="1" applyFont="1" applyFill="1" applyBorder="1" applyAlignment="1">
      <alignment horizontal="center" vertical="center" wrapText="1"/>
    </xf>
    <xf numFmtId="1" fontId="3" fillId="0" borderId="41" xfId="0" applyNumberFormat="1" applyFont="1" applyFill="1" applyBorder="1" applyAlignment="1">
      <alignment horizontal="center" vertical="center" wrapText="1"/>
    </xf>
    <xf numFmtId="1" fontId="3" fillId="0" borderId="12" xfId="0" applyNumberFormat="1" applyFont="1" applyFill="1" applyBorder="1" applyAlignment="1">
      <alignment horizontal="center" vertical="center" wrapText="1"/>
    </xf>
    <xf numFmtId="0" fontId="2" fillId="0" borderId="0" xfId="0" applyFont="1" applyFill="1" applyBorder="1" applyAlignment="1">
      <alignment horizontal="left" wrapText="1"/>
    </xf>
    <xf numFmtId="1" fontId="2" fillId="0" borderId="39" xfId="0" applyNumberFormat="1" applyFont="1" applyFill="1" applyBorder="1" applyAlignment="1">
      <alignment horizontal="center" vertical="center"/>
    </xf>
    <xf numFmtId="0" fontId="2" fillId="0" borderId="39" xfId="0" applyFont="1" applyFill="1" applyBorder="1" applyAlignment="1">
      <alignment horizontal="center" vertical="center"/>
    </xf>
    <xf numFmtId="2" fontId="2" fillId="0" borderId="39" xfId="0" applyNumberFormat="1" applyFont="1" applyFill="1" applyBorder="1" applyAlignment="1">
      <alignment horizontal="center" vertical="center"/>
    </xf>
    <xf numFmtId="1" fontId="2" fillId="0" borderId="31" xfId="0" applyNumberFormat="1" applyFont="1" applyFill="1" applyBorder="1" applyAlignment="1">
      <alignment horizontal="center"/>
    </xf>
    <xf numFmtId="0" fontId="2" fillId="0" borderId="1" xfId="0" applyFont="1" applyFill="1" applyBorder="1" applyAlignment="1">
      <alignment horizontal="center" vertical="center"/>
    </xf>
    <xf numFmtId="2" fontId="2" fillId="0" borderId="1" xfId="0" applyNumberFormat="1" applyFont="1" applyFill="1" applyBorder="1" applyAlignment="1">
      <alignment horizontal="center" vertical="center"/>
    </xf>
    <xf numFmtId="1" fontId="2" fillId="0" borderId="7" xfId="0" applyNumberFormat="1" applyFont="1" applyFill="1" applyBorder="1" applyAlignment="1">
      <alignment horizontal="center"/>
    </xf>
    <xf numFmtId="0" fontId="2" fillId="0" borderId="40" xfId="0" applyFont="1" applyFill="1" applyBorder="1" applyAlignment="1">
      <alignment horizontal="center" vertical="center"/>
    </xf>
    <xf numFmtId="2" fontId="2" fillId="0" borderId="40" xfId="0" applyNumberFormat="1" applyFont="1" applyFill="1" applyBorder="1" applyAlignment="1">
      <alignment horizontal="center" vertical="center"/>
    </xf>
    <xf numFmtId="1" fontId="2" fillId="0" borderId="40" xfId="0" applyNumberFormat="1" applyFont="1" applyFill="1" applyBorder="1" applyAlignment="1">
      <alignment horizontal="center" vertical="center"/>
    </xf>
    <xf numFmtId="1" fontId="2" fillId="0" borderId="9" xfId="0" applyNumberFormat="1" applyFont="1" applyFill="1" applyBorder="1" applyAlignment="1">
      <alignment horizontal="center"/>
    </xf>
    <xf numFmtId="0" fontId="4" fillId="0" borderId="0" xfId="0" applyFont="1" applyFill="1" applyBorder="1" applyAlignment="1">
      <alignment horizontal="right"/>
    </xf>
    <xf numFmtId="1" fontId="4" fillId="0" borderId="29" xfId="0" applyNumberFormat="1" applyFont="1" applyFill="1" applyBorder="1" applyAlignment="1">
      <alignment horizontal="center"/>
    </xf>
    <xf numFmtId="0" fontId="2" fillId="0" borderId="0" xfId="0" applyFont="1" applyFill="1" applyBorder="1" applyAlignment="1">
      <alignment horizontal="left"/>
    </xf>
    <xf numFmtId="0" fontId="2" fillId="0" borderId="0" xfId="0" applyFont="1" applyFill="1" applyBorder="1" applyAlignment="1"/>
    <xf numFmtId="0" fontId="2" fillId="0" borderId="0" xfId="0" applyFont="1" applyAlignment="1">
      <alignment horizontal="left" vertical="center" wrapText="1"/>
    </xf>
    <xf numFmtId="0" fontId="6" fillId="0" borderId="36" xfId="0" applyFont="1" applyBorder="1" applyAlignment="1">
      <alignment horizontal="left" vertical="center" wrapText="1"/>
    </xf>
    <xf numFmtId="0" fontId="2" fillId="0" borderId="36" xfId="0" applyFont="1" applyFill="1" applyBorder="1" applyAlignment="1">
      <alignment horizontal="left" vertical="center" wrapText="1"/>
    </xf>
    <xf numFmtId="164" fontId="2" fillId="0" borderId="39" xfId="1" applyNumberFormat="1" applyFont="1" applyFill="1" applyBorder="1" applyAlignment="1">
      <alignment vertical="center"/>
    </xf>
    <xf numFmtId="164" fontId="2" fillId="0" borderId="32" xfId="1" applyNumberFormat="1" applyFont="1" applyFill="1" applyBorder="1" applyAlignment="1">
      <alignment vertical="center"/>
    </xf>
    <xf numFmtId="164" fontId="2" fillId="2" borderId="2" xfId="1" applyNumberFormat="1" applyFont="1" applyFill="1" applyBorder="1" applyAlignment="1">
      <alignment vertical="center"/>
    </xf>
    <xf numFmtId="164" fontId="2" fillId="0" borderId="20" xfId="1" applyNumberFormat="1" applyFont="1" applyFill="1" applyBorder="1" applyAlignment="1">
      <alignment vertical="center"/>
    </xf>
    <xf numFmtId="164" fontId="2" fillId="2" borderId="3" xfId="1" applyNumberFormat="1" applyFont="1" applyFill="1" applyBorder="1" applyAlignment="1">
      <alignment vertical="center"/>
    </xf>
    <xf numFmtId="0" fontId="2" fillId="0" borderId="13" xfId="0" applyFont="1" applyBorder="1" applyAlignment="1">
      <alignment horizontal="center" vertical="center"/>
    </xf>
    <xf numFmtId="0" fontId="2" fillId="0" borderId="51" xfId="0" applyFont="1" applyBorder="1" applyAlignment="1">
      <alignment horizontal="center" vertical="center"/>
    </xf>
    <xf numFmtId="0" fontId="2" fillId="0" borderId="43" xfId="0" applyFont="1" applyBorder="1" applyAlignment="1">
      <alignment horizontal="center" vertical="center"/>
    </xf>
    <xf numFmtId="0" fontId="2" fillId="0" borderId="52" xfId="0" applyFont="1" applyBorder="1" applyAlignment="1">
      <alignment horizontal="center" vertical="center"/>
    </xf>
    <xf numFmtId="164" fontId="2" fillId="0" borderId="20" xfId="1" applyNumberFormat="1" applyFont="1" applyBorder="1" applyAlignment="1">
      <alignment vertical="center"/>
    </xf>
    <xf numFmtId="0" fontId="2" fillId="0" borderId="14" xfId="0" applyFont="1" applyBorder="1" applyAlignment="1">
      <alignment horizontal="center" vertical="center"/>
    </xf>
    <xf numFmtId="0" fontId="2" fillId="0" borderId="50" xfId="0" applyFont="1" applyBorder="1" applyAlignment="1">
      <alignment horizontal="center" vertical="center"/>
    </xf>
    <xf numFmtId="164" fontId="2" fillId="0" borderId="21" xfId="1" applyNumberFormat="1" applyFont="1" applyBorder="1" applyAlignment="1">
      <alignment vertical="center"/>
    </xf>
    <xf numFmtId="0" fontId="4" fillId="0" borderId="26" xfId="0" applyFont="1" applyBorder="1" applyAlignment="1">
      <alignment horizontal="center" vertical="center"/>
    </xf>
    <xf numFmtId="0" fontId="4" fillId="0" borderId="49" xfId="0" applyFont="1" applyBorder="1" applyAlignment="1">
      <alignment horizontal="center" vertical="center"/>
    </xf>
    <xf numFmtId="164" fontId="4" fillId="0" borderId="12" xfId="0" applyNumberFormat="1" applyFont="1" applyBorder="1" applyAlignment="1">
      <alignment vertical="center"/>
    </xf>
    <xf numFmtId="164" fontId="2" fillId="0" borderId="40" xfId="1" applyNumberFormat="1" applyFont="1" applyBorder="1" applyAlignment="1">
      <alignment vertical="center"/>
    </xf>
    <xf numFmtId="164" fontId="2" fillId="0" borderId="18" xfId="1" applyNumberFormat="1" applyFont="1" applyBorder="1" applyAlignment="1">
      <alignment vertical="center"/>
    </xf>
    <xf numFmtId="164" fontId="2" fillId="2" borderId="4" xfId="1" applyNumberFormat="1" applyFont="1" applyFill="1" applyBorder="1" applyAlignment="1">
      <alignment vertical="center"/>
    </xf>
    <xf numFmtId="0" fontId="3" fillId="0" borderId="0" xfId="0" applyFont="1" applyAlignment="1">
      <alignment vertical="center"/>
    </xf>
    <xf numFmtId="0" fontId="4" fillId="0" borderId="36" xfId="0" applyFont="1" applyBorder="1" applyAlignment="1">
      <alignment vertical="center"/>
    </xf>
    <xf numFmtId="0" fontId="4" fillId="0" borderId="36" xfId="0" applyFont="1" applyBorder="1" applyAlignment="1">
      <alignment horizontal="center" vertical="center"/>
    </xf>
    <xf numFmtId="0" fontId="3" fillId="0" borderId="11" xfId="0" applyFont="1" applyBorder="1" applyAlignment="1">
      <alignment horizontal="right"/>
    </xf>
    <xf numFmtId="0" fontId="3" fillId="0" borderId="41" xfId="0" applyFont="1" applyBorder="1" applyAlignment="1">
      <alignment horizontal="right"/>
    </xf>
    <xf numFmtId="0" fontId="3" fillId="0" borderId="41" xfId="0" applyFont="1" applyBorder="1"/>
    <xf numFmtId="0" fontId="3" fillId="0" borderId="12" xfId="0" applyFont="1" applyBorder="1"/>
    <xf numFmtId="0" fontId="2" fillId="0" borderId="30" xfId="0" applyFont="1" applyBorder="1" applyAlignment="1">
      <alignment horizontal="right"/>
    </xf>
    <xf numFmtId="0" fontId="2" fillId="0" borderId="39" xfId="0" applyFont="1" applyBorder="1" applyAlignment="1">
      <alignment horizontal="right"/>
    </xf>
    <xf numFmtId="0" fontId="2" fillId="0" borderId="39" xfId="0" applyFont="1" applyBorder="1"/>
    <xf numFmtId="0" fontId="2" fillId="0" borderId="31" xfId="0" applyFont="1" applyBorder="1"/>
    <xf numFmtId="0" fontId="2" fillId="0" borderId="6" xfId="0" applyFont="1" applyBorder="1" applyAlignment="1">
      <alignment horizontal="right"/>
    </xf>
    <xf numFmtId="0" fontId="2" fillId="0" borderId="1" xfId="0" applyFont="1" applyBorder="1" applyAlignment="1">
      <alignment horizontal="right"/>
    </xf>
    <xf numFmtId="0" fontId="2" fillId="0" borderId="1" xfId="0" applyFont="1" applyBorder="1"/>
    <xf numFmtId="0" fontId="2" fillId="0" borderId="7" xfId="0" applyFont="1" applyBorder="1"/>
    <xf numFmtId="0" fontId="2" fillId="0" borderId="8" xfId="0" applyFont="1" applyBorder="1" applyAlignment="1">
      <alignment horizontal="right"/>
    </xf>
    <xf numFmtId="0" fontId="2" fillId="0" borderId="40" xfId="0" applyFont="1" applyBorder="1" applyAlignment="1">
      <alignment horizontal="right"/>
    </xf>
    <xf numFmtId="0" fontId="2" fillId="0" borderId="40" xfId="0" applyFont="1" applyBorder="1"/>
    <xf numFmtId="0" fontId="2" fillId="0" borderId="9" xfId="0" applyFont="1" applyBorder="1"/>
  </cellXfs>
  <cellStyles count="2">
    <cellStyle name="Currency" xfId="1" builtinId="4"/>
    <cellStyle name="Normal" xfId="0" builtinId="0"/>
  </cellStyles>
  <dxfs count="0"/>
  <tableStyles count="0" defaultTableStyle="TableStyleMedium2" defaultPivotStyle="PivotStyleLight16"/>
  <colors>
    <mruColors>
      <color rgb="FF2A33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K65"/>
  <sheetViews>
    <sheetView zoomScaleNormal="100" workbookViewId="0">
      <pane ySplit="2" topLeftCell="A30" activePane="bottomLeft" state="frozen"/>
      <selection activeCell="K1" sqref="K1"/>
      <selection pane="bottomLeft" activeCell="Y65" sqref="Y65"/>
    </sheetView>
  </sheetViews>
  <sheetFormatPr defaultColWidth="9.140625" defaultRowHeight="16.5" x14ac:dyDescent="0.3"/>
  <cols>
    <col min="1" max="3" width="28.85546875" style="75" bestFit="1" customWidth="1"/>
    <col min="4" max="11" width="15.7109375" style="75" customWidth="1"/>
    <col min="12" max="12" width="48.85546875" style="75" customWidth="1"/>
    <col min="13" max="33" width="15.7109375" style="75" customWidth="1"/>
    <col min="34" max="34" width="15.7109375" style="419" customWidth="1"/>
    <col min="35" max="16384" width="9.140625" style="350"/>
  </cols>
  <sheetData>
    <row r="1" spans="1:34" ht="14.45" customHeight="1" thickBot="1" x14ac:dyDescent="0.35">
      <c r="A1" s="119" t="s">
        <v>233</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row>
    <row r="2" spans="1:34" ht="116.25" thickBot="1" x14ac:dyDescent="0.35">
      <c r="A2" s="81" t="s">
        <v>138</v>
      </c>
      <c r="B2" s="82" t="s">
        <v>82</v>
      </c>
      <c r="C2" s="82" t="s">
        <v>126</v>
      </c>
      <c r="D2" s="82" t="s">
        <v>133</v>
      </c>
      <c r="E2" s="82" t="s">
        <v>134</v>
      </c>
      <c r="F2" s="82" t="s">
        <v>201</v>
      </c>
      <c r="G2" s="82" t="s">
        <v>202</v>
      </c>
      <c r="H2" s="82" t="s">
        <v>135</v>
      </c>
      <c r="I2" s="82" t="s">
        <v>68</v>
      </c>
      <c r="J2" s="82" t="s">
        <v>142</v>
      </c>
      <c r="K2" s="82" t="s">
        <v>143</v>
      </c>
      <c r="L2" s="82" t="s">
        <v>144</v>
      </c>
      <c r="M2" s="82" t="s">
        <v>145</v>
      </c>
      <c r="N2" s="82" t="s">
        <v>146</v>
      </c>
      <c r="O2" s="82" t="s">
        <v>147</v>
      </c>
      <c r="P2" s="82" t="s">
        <v>175</v>
      </c>
      <c r="Q2" s="82" t="s">
        <v>176</v>
      </c>
      <c r="R2" s="82" t="s">
        <v>177</v>
      </c>
      <c r="S2" s="82" t="s">
        <v>178</v>
      </c>
      <c r="T2" s="82" t="s">
        <v>179</v>
      </c>
      <c r="U2" s="82" t="s">
        <v>180</v>
      </c>
      <c r="V2" s="82" t="s">
        <v>181</v>
      </c>
      <c r="W2" s="82" t="s">
        <v>182</v>
      </c>
      <c r="X2" s="82" t="s">
        <v>183</v>
      </c>
      <c r="Y2" s="82" t="s">
        <v>184</v>
      </c>
      <c r="Z2" s="82" t="s">
        <v>185</v>
      </c>
      <c r="AA2" s="82" t="s">
        <v>186</v>
      </c>
      <c r="AB2" s="82" t="s">
        <v>187</v>
      </c>
      <c r="AC2" s="82" t="s">
        <v>195</v>
      </c>
      <c r="AD2" s="82" t="s">
        <v>196</v>
      </c>
      <c r="AE2" s="82" t="s">
        <v>197</v>
      </c>
      <c r="AF2" s="82" t="s">
        <v>198</v>
      </c>
      <c r="AG2" s="82" t="s">
        <v>199</v>
      </c>
      <c r="AH2" s="402" t="s">
        <v>200</v>
      </c>
    </row>
    <row r="3" spans="1:34" x14ac:dyDescent="0.3">
      <c r="A3" s="125" t="s">
        <v>112</v>
      </c>
      <c r="B3" s="83" t="s">
        <v>83</v>
      </c>
      <c r="C3" s="83" t="s">
        <v>84</v>
      </c>
      <c r="D3" s="84">
        <v>3.45</v>
      </c>
      <c r="E3" s="83">
        <v>50</v>
      </c>
      <c r="F3" s="85">
        <v>0</v>
      </c>
      <c r="G3" s="86">
        <f>(35/60)/60</f>
        <v>9.7222222222222224E-3</v>
      </c>
      <c r="H3" s="83" t="s">
        <v>136</v>
      </c>
      <c r="I3" s="83" t="s">
        <v>148</v>
      </c>
      <c r="J3" s="83">
        <v>9000</v>
      </c>
      <c r="K3" s="83">
        <v>9100</v>
      </c>
      <c r="L3" s="83">
        <v>25554</v>
      </c>
      <c r="M3" s="83">
        <v>17314</v>
      </c>
      <c r="N3" s="83">
        <v>22141</v>
      </c>
      <c r="O3" s="87">
        <f>(N3/M3)^(1/30)</f>
        <v>1.0082308779620475</v>
      </c>
      <c r="P3" s="403">
        <f>J3*O3^12</f>
        <v>9930.3015539851203</v>
      </c>
      <c r="Q3" s="403">
        <f>J3*O3^31</f>
        <v>11603.855771088069</v>
      </c>
      <c r="R3" s="403">
        <f t="shared" ref="R3:R55" si="0">D3*P3</f>
        <v>34259.54036124867</v>
      </c>
      <c r="S3" s="403">
        <f t="shared" ref="S3:S55" si="1">D3*Q3</f>
        <v>40033.30241025384</v>
      </c>
      <c r="T3" s="403">
        <f t="shared" ref="T3:T55" si="2">((D3/E3)+(F3*G3))*P3</f>
        <v>685.19080722497336</v>
      </c>
      <c r="U3" s="403">
        <f>((D3/E3)+(F3*G3))*Q3</f>
        <v>800.66604820507678</v>
      </c>
      <c r="V3" s="83">
        <v>11935</v>
      </c>
      <c r="W3" s="83">
        <v>15676</v>
      </c>
      <c r="X3" s="87">
        <f>(W3/V3)^(1/30)</f>
        <v>1.0091299466942787</v>
      </c>
      <c r="Y3" s="84">
        <f t="shared" ref="Y3:Y54" si="3">J3/M3</f>
        <v>0.51981055792999886</v>
      </c>
      <c r="Z3" s="403">
        <f t="shared" ref="Z3:Z54" si="4">V3*Y3</f>
        <v>6203.9390088945365</v>
      </c>
      <c r="AA3" s="403">
        <f>Z3-1000</f>
        <v>5203.9390088945365</v>
      </c>
      <c r="AB3" s="404" t="s">
        <v>188</v>
      </c>
      <c r="AC3" s="403">
        <f>AA3*X3^12</f>
        <v>5803.5981085925478</v>
      </c>
      <c r="AD3" s="403">
        <f>AA3*X3^31</f>
        <v>6897.5065847734559</v>
      </c>
      <c r="AE3" s="403">
        <f t="shared" ref="AE3:AE55" si="5">D3*AC3</f>
        <v>20022.413474644291</v>
      </c>
      <c r="AF3" s="403">
        <f t="shared" ref="AF3:AF55" si="6">D3*AD3</f>
        <v>23796.397717468422</v>
      </c>
      <c r="AG3" s="403">
        <f>((D3/E3)+(F3*G3))*AC3</f>
        <v>400.44826949288586</v>
      </c>
      <c r="AH3" s="405">
        <f>((D3/E3)+(F3*G3))*AD3</f>
        <v>475.92795434936852</v>
      </c>
    </row>
    <row r="4" spans="1:34" x14ac:dyDescent="0.3">
      <c r="A4" s="120"/>
      <c r="B4" s="75" t="s">
        <v>84</v>
      </c>
      <c r="C4" s="75" t="s">
        <v>85</v>
      </c>
      <c r="D4" s="77">
        <v>0.72</v>
      </c>
      <c r="E4" s="75">
        <v>40</v>
      </c>
      <c r="F4" s="78">
        <v>0</v>
      </c>
      <c r="G4" s="79">
        <f t="shared" ref="G4:G55" si="7">(35/60)/60</f>
        <v>9.7222222222222224E-3</v>
      </c>
      <c r="H4" s="75" t="s">
        <v>136</v>
      </c>
      <c r="I4" s="75" t="s">
        <v>148</v>
      </c>
      <c r="J4" s="75">
        <v>14000</v>
      </c>
      <c r="K4" s="75">
        <v>14000</v>
      </c>
      <c r="L4" s="75">
        <v>25436</v>
      </c>
      <c r="M4" s="75">
        <v>21411</v>
      </c>
      <c r="N4" s="75">
        <v>27597</v>
      </c>
      <c r="O4" s="76">
        <f t="shared" ref="O4:O54" si="8">(N4/M4)^(1/30)</f>
        <v>1.0084959629873607</v>
      </c>
      <c r="P4" s="210">
        <f t="shared" ref="P4:P55" si="9">J4*O4^12</f>
        <v>15495.94279682303</v>
      </c>
      <c r="Q4" s="210">
        <f t="shared" ref="Q4:Q55" si="10">J4*O4^31</f>
        <v>18198.145031426411</v>
      </c>
      <c r="R4" s="210">
        <f t="shared" si="0"/>
        <v>11157.078813712582</v>
      </c>
      <c r="S4" s="210">
        <f t="shared" si="1"/>
        <v>13102.664422627016</v>
      </c>
      <c r="T4" s="210">
        <f t="shared" si="2"/>
        <v>278.92697034281451</v>
      </c>
      <c r="U4" s="210">
        <f t="shared" ref="U4:U55" si="11">((D4/E4)+(F4*G4))*Q4</f>
        <v>327.56661056567538</v>
      </c>
      <c r="V4" s="75">
        <v>15485</v>
      </c>
      <c r="W4" s="75">
        <v>20496</v>
      </c>
      <c r="X4" s="76">
        <f t="shared" ref="X4:X54" si="12">(W4/V4)^(1/30)</f>
        <v>1.0093890677191395</v>
      </c>
      <c r="Y4" s="77">
        <f t="shared" si="3"/>
        <v>0.6538695063285227</v>
      </c>
      <c r="Z4" s="210">
        <f t="shared" si="4"/>
        <v>10125.169305497175</v>
      </c>
      <c r="AA4" s="210">
        <f>Z4-1000</f>
        <v>9125.1693054971747</v>
      </c>
      <c r="AB4" s="211" t="s">
        <v>188</v>
      </c>
      <c r="AC4" s="210">
        <f t="shared" ref="AC4:AC55" si="13">AA4*X4^12</f>
        <v>10208.080637524054</v>
      </c>
      <c r="AD4" s="210">
        <f t="shared" ref="AD4:AD55" si="14">AA4*X4^31</f>
        <v>12191.508068813535</v>
      </c>
      <c r="AE4" s="210">
        <f t="shared" si="5"/>
        <v>7349.8180590173188</v>
      </c>
      <c r="AF4" s="210">
        <f t="shared" si="6"/>
        <v>8777.8858095457454</v>
      </c>
      <c r="AG4" s="210">
        <f t="shared" ref="AG4:AG55" si="15">((D4/E4)+(F4*G4))*AC4</f>
        <v>183.74545147543296</v>
      </c>
      <c r="AH4" s="212">
        <f t="shared" ref="AH4:AH55" si="16">((D4/E4)+(F4*G4))*AD4</f>
        <v>219.4471452386436</v>
      </c>
    </row>
    <row r="5" spans="1:34" x14ac:dyDescent="0.3">
      <c r="A5" s="120"/>
      <c r="B5" s="75" t="s">
        <v>85</v>
      </c>
      <c r="C5" s="75" t="s">
        <v>86</v>
      </c>
      <c r="D5" s="77">
        <v>1.1200000000000001</v>
      </c>
      <c r="E5" s="75">
        <v>35</v>
      </c>
      <c r="F5" s="78">
        <v>0</v>
      </c>
      <c r="G5" s="79">
        <f t="shared" si="7"/>
        <v>9.7222222222222224E-3</v>
      </c>
      <c r="H5" s="75" t="s">
        <v>136</v>
      </c>
      <c r="I5" s="75" t="s">
        <v>148</v>
      </c>
      <c r="J5" s="75">
        <v>8600</v>
      </c>
      <c r="K5" s="75">
        <v>9200</v>
      </c>
      <c r="L5" s="75">
        <v>25304</v>
      </c>
      <c r="M5" s="75">
        <v>15879</v>
      </c>
      <c r="N5" s="75">
        <v>20148</v>
      </c>
      <c r="O5" s="76">
        <f t="shared" si="8"/>
        <v>1.0079684990428628</v>
      </c>
      <c r="P5" s="210">
        <f t="shared" si="9"/>
        <v>9459.3646757343868</v>
      </c>
      <c r="Q5" s="210">
        <f t="shared" si="10"/>
        <v>10999.025388308761</v>
      </c>
      <c r="R5" s="210">
        <f t="shared" si="0"/>
        <v>10594.488436822514</v>
      </c>
      <c r="S5" s="210">
        <f t="shared" si="1"/>
        <v>12318.908434905814</v>
      </c>
      <c r="T5" s="210">
        <f t="shared" si="2"/>
        <v>302.69966962350037</v>
      </c>
      <c r="U5" s="210">
        <f t="shared" si="11"/>
        <v>351.96881242588034</v>
      </c>
      <c r="V5" s="75">
        <v>16500</v>
      </c>
      <c r="W5" s="75">
        <v>21734</v>
      </c>
      <c r="X5" s="76">
        <f t="shared" si="12"/>
        <v>1.0092262173445663</v>
      </c>
      <c r="Y5" s="77">
        <f t="shared" si="3"/>
        <v>0.54159581837647208</v>
      </c>
      <c r="Z5" s="210">
        <f t="shared" si="4"/>
        <v>8936.3310032117897</v>
      </c>
      <c r="AA5" s="210">
        <f>Z5-1000-1000</f>
        <v>6936.3310032117897</v>
      </c>
      <c r="AB5" s="211" t="s">
        <v>189</v>
      </c>
      <c r="AC5" s="210">
        <f t="shared" si="13"/>
        <v>7744.477047818762</v>
      </c>
      <c r="AD5" s="210">
        <f t="shared" si="14"/>
        <v>9220.9157093880694</v>
      </c>
      <c r="AE5" s="210">
        <f t="shared" si="5"/>
        <v>8673.814293557014</v>
      </c>
      <c r="AF5" s="210">
        <f t="shared" si="6"/>
        <v>10327.42559451464</v>
      </c>
      <c r="AG5" s="210">
        <f t="shared" si="15"/>
        <v>247.82326553020039</v>
      </c>
      <c r="AH5" s="212">
        <f t="shared" si="16"/>
        <v>295.06930270041823</v>
      </c>
    </row>
    <row r="6" spans="1:34" x14ac:dyDescent="0.3">
      <c r="A6" s="120"/>
      <c r="B6" s="75" t="s">
        <v>86</v>
      </c>
      <c r="C6" s="75" t="s">
        <v>87</v>
      </c>
      <c r="D6" s="77">
        <v>0.86</v>
      </c>
      <c r="E6" s="75">
        <v>35</v>
      </c>
      <c r="F6" s="78">
        <v>0</v>
      </c>
      <c r="G6" s="79">
        <f t="shared" si="7"/>
        <v>9.7222222222222224E-3</v>
      </c>
      <c r="H6" s="75" t="s">
        <v>137</v>
      </c>
      <c r="I6" s="75" t="s">
        <v>148</v>
      </c>
      <c r="J6" s="75">
        <v>15000</v>
      </c>
      <c r="K6" s="75">
        <v>15000</v>
      </c>
      <c r="L6" s="75" t="s">
        <v>149</v>
      </c>
      <c r="M6" s="75">
        <v>20861</v>
      </c>
      <c r="N6" s="75">
        <v>25796</v>
      </c>
      <c r="O6" s="76">
        <f t="shared" si="8"/>
        <v>1.0071030429212307</v>
      </c>
      <c r="P6" s="210">
        <f t="shared" si="9"/>
        <v>16329.698155056258</v>
      </c>
      <c r="Q6" s="210">
        <f t="shared" si="10"/>
        <v>18680.238312062753</v>
      </c>
      <c r="R6" s="210">
        <f t="shared" si="0"/>
        <v>14043.540413348381</v>
      </c>
      <c r="S6" s="210">
        <f t="shared" si="1"/>
        <v>16065.004948373968</v>
      </c>
      <c r="T6" s="210">
        <f t="shared" si="2"/>
        <v>401.24401180995375</v>
      </c>
      <c r="U6" s="210">
        <f t="shared" si="11"/>
        <v>459.00014138211333</v>
      </c>
      <c r="V6" s="75">
        <v>24372</v>
      </c>
      <c r="W6" s="75">
        <v>30732</v>
      </c>
      <c r="X6" s="76">
        <f t="shared" si="12"/>
        <v>1.0077589298522234</v>
      </c>
      <c r="Y6" s="77">
        <f t="shared" si="3"/>
        <v>0.71904510809644795</v>
      </c>
      <c r="Z6" s="210">
        <f t="shared" si="4"/>
        <v>17524.567374526629</v>
      </c>
      <c r="AA6" s="210">
        <f t="shared" ref="AA6:AA11" si="17">Z6-1000-1000</f>
        <v>15524.567374526629</v>
      </c>
      <c r="AB6" s="211" t="s">
        <v>189</v>
      </c>
      <c r="AC6" s="210">
        <f t="shared" si="13"/>
        <v>17033.322472240925</v>
      </c>
      <c r="AD6" s="210">
        <f t="shared" si="14"/>
        <v>19727.671006922305</v>
      </c>
      <c r="AE6" s="210">
        <f t="shared" si="5"/>
        <v>14648.657326127195</v>
      </c>
      <c r="AF6" s="210">
        <f t="shared" si="6"/>
        <v>16965.797065953182</v>
      </c>
      <c r="AG6" s="210">
        <f t="shared" si="15"/>
        <v>418.53306646077698</v>
      </c>
      <c r="AH6" s="212">
        <f t="shared" si="16"/>
        <v>484.73705902723373</v>
      </c>
    </row>
    <row r="7" spans="1:34" x14ac:dyDescent="0.3">
      <c r="A7" s="120"/>
      <c r="B7" s="75" t="s">
        <v>87</v>
      </c>
      <c r="C7" s="75" t="s">
        <v>88</v>
      </c>
      <c r="D7" s="77">
        <v>0.23</v>
      </c>
      <c r="E7" s="75">
        <v>35</v>
      </c>
      <c r="F7" s="78">
        <v>0.5</v>
      </c>
      <c r="G7" s="79">
        <f t="shared" si="7"/>
        <v>9.7222222222222224E-3</v>
      </c>
      <c r="H7" s="75" t="s">
        <v>137</v>
      </c>
      <c r="I7" s="75" t="s">
        <v>153</v>
      </c>
      <c r="J7" s="75">
        <v>20000</v>
      </c>
      <c r="K7" s="75">
        <v>21000</v>
      </c>
      <c r="L7" s="75" t="s">
        <v>151</v>
      </c>
      <c r="M7" s="75">
        <v>20861</v>
      </c>
      <c r="N7" s="75">
        <v>26054</v>
      </c>
      <c r="O7" s="76">
        <f t="shared" si="8"/>
        <v>1.0074371834955205</v>
      </c>
      <c r="P7" s="210">
        <f t="shared" si="9"/>
        <v>21859.77613050113</v>
      </c>
      <c r="Q7" s="210">
        <f t="shared" si="10"/>
        <v>25164.43926829227</v>
      </c>
      <c r="R7" s="210">
        <f t="shared" si="0"/>
        <v>5027.7485100152599</v>
      </c>
      <c r="S7" s="210">
        <f t="shared" si="1"/>
        <v>5787.8210317072226</v>
      </c>
      <c r="T7" s="210">
        <f t="shared" si="2"/>
        <v>249.91275806338794</v>
      </c>
      <c r="U7" s="210">
        <f t="shared" si="11"/>
        <v>287.69345052361126</v>
      </c>
      <c r="V7" s="75">
        <v>24742</v>
      </c>
      <c r="W7" s="75">
        <v>30682</v>
      </c>
      <c r="X7" s="76">
        <f t="shared" si="12"/>
        <v>1.0071982490360898</v>
      </c>
      <c r="Y7" s="77">
        <f t="shared" si="3"/>
        <v>0.9587268107952639</v>
      </c>
      <c r="Z7" s="210">
        <f t="shared" si="4"/>
        <v>23720.818752696418</v>
      </c>
      <c r="AA7" s="210">
        <f t="shared" si="17"/>
        <v>21720.818752696418</v>
      </c>
      <c r="AB7" s="211" t="s">
        <v>189</v>
      </c>
      <c r="AC7" s="210">
        <f t="shared" si="13"/>
        <v>23673.132936989441</v>
      </c>
      <c r="AD7" s="210">
        <f t="shared" si="14"/>
        <v>27129.389249860509</v>
      </c>
      <c r="AE7" s="210">
        <f t="shared" si="5"/>
        <v>5444.8205755075714</v>
      </c>
      <c r="AF7" s="210">
        <f t="shared" si="6"/>
        <v>6239.759527467917</v>
      </c>
      <c r="AG7" s="210">
        <f t="shared" si="15"/>
        <v>270.64403171216895</v>
      </c>
      <c r="AH7" s="212">
        <f t="shared" si="16"/>
        <v>310.15781916209573</v>
      </c>
    </row>
    <row r="8" spans="1:34" x14ac:dyDescent="0.3">
      <c r="A8" s="120"/>
      <c r="B8" s="75" t="s">
        <v>88</v>
      </c>
      <c r="C8" s="75" t="s">
        <v>89</v>
      </c>
      <c r="D8" s="77">
        <v>0.33</v>
      </c>
      <c r="E8" s="75">
        <v>35</v>
      </c>
      <c r="F8" s="78">
        <v>2</v>
      </c>
      <c r="G8" s="79">
        <f t="shared" si="7"/>
        <v>9.7222222222222224E-3</v>
      </c>
      <c r="H8" s="75" t="s">
        <v>137</v>
      </c>
      <c r="I8" s="75" t="s">
        <v>150</v>
      </c>
      <c r="J8" s="75">
        <v>21000</v>
      </c>
      <c r="K8" s="75">
        <v>21000</v>
      </c>
      <c r="L8" s="75" t="s">
        <v>152</v>
      </c>
      <c r="M8" s="75">
        <v>21333</v>
      </c>
      <c r="N8" s="75">
        <v>26054</v>
      </c>
      <c r="O8" s="76">
        <f t="shared" si="8"/>
        <v>1.0066861242498248</v>
      </c>
      <c r="P8" s="210">
        <f t="shared" si="9"/>
        <v>22748.26531968834</v>
      </c>
      <c r="Q8" s="210">
        <f t="shared" si="10"/>
        <v>25818.7880703747</v>
      </c>
      <c r="R8" s="210">
        <f t="shared" si="0"/>
        <v>7506.9275554971528</v>
      </c>
      <c r="S8" s="210">
        <f t="shared" si="1"/>
        <v>8520.2000632236504</v>
      </c>
      <c r="T8" s="210">
        <f t="shared" si="2"/>
        <v>656.81102565893798</v>
      </c>
      <c r="U8" s="210">
        <f t="shared" si="11"/>
        <v>745.46627777796152</v>
      </c>
      <c r="V8" s="75">
        <v>24742</v>
      </c>
      <c r="W8" s="75">
        <v>30682</v>
      </c>
      <c r="X8" s="76">
        <f t="shared" si="12"/>
        <v>1.0071982490360898</v>
      </c>
      <c r="Y8" s="77">
        <f t="shared" si="3"/>
        <v>0.98439038109970467</v>
      </c>
      <c r="Z8" s="210">
        <f t="shared" si="4"/>
        <v>24355.786809168894</v>
      </c>
      <c r="AA8" s="210">
        <f t="shared" si="17"/>
        <v>22355.786809168894</v>
      </c>
      <c r="AB8" s="211" t="s">
        <v>189</v>
      </c>
      <c r="AC8" s="210">
        <f t="shared" si="13"/>
        <v>24365.173296183944</v>
      </c>
      <c r="AD8" s="210">
        <f t="shared" si="14"/>
        <v>27922.466884796842</v>
      </c>
      <c r="AE8" s="210">
        <f t="shared" si="5"/>
        <v>8040.5071877407017</v>
      </c>
      <c r="AF8" s="210">
        <f t="shared" si="6"/>
        <v>9214.4140719829593</v>
      </c>
      <c r="AG8" s="210">
        <f t="shared" si="15"/>
        <v>703.49603532950152</v>
      </c>
      <c r="AH8" s="212">
        <f t="shared" si="16"/>
        <v>806.20582957849933</v>
      </c>
    </row>
    <row r="9" spans="1:34" x14ac:dyDescent="0.3">
      <c r="A9" s="120"/>
      <c r="B9" s="75" t="s">
        <v>89</v>
      </c>
      <c r="C9" s="75" t="s">
        <v>90</v>
      </c>
      <c r="D9" s="77">
        <v>0.09</v>
      </c>
      <c r="E9" s="75">
        <v>35</v>
      </c>
      <c r="F9" s="78">
        <v>1</v>
      </c>
      <c r="G9" s="79">
        <f t="shared" si="7"/>
        <v>9.7222222222222224E-3</v>
      </c>
      <c r="H9" s="75" t="s">
        <v>137</v>
      </c>
      <c r="I9" s="75" t="s">
        <v>150</v>
      </c>
      <c r="J9" s="75">
        <v>20000</v>
      </c>
      <c r="K9" s="75">
        <v>20000</v>
      </c>
      <c r="L9" s="75">
        <v>25153</v>
      </c>
      <c r="M9" s="75">
        <v>20371</v>
      </c>
      <c r="N9" s="75">
        <v>25094</v>
      </c>
      <c r="O9" s="76">
        <f t="shared" si="8"/>
        <v>1.0069747595528309</v>
      </c>
      <c r="P9" s="210">
        <f t="shared" si="9"/>
        <v>21739.673315947657</v>
      </c>
      <c r="Q9" s="210">
        <f t="shared" si="10"/>
        <v>24808.820986911516</v>
      </c>
      <c r="R9" s="210">
        <f t="shared" si="0"/>
        <v>1956.570598435289</v>
      </c>
      <c r="S9" s="210">
        <f t="shared" si="1"/>
        <v>2232.7938888220365</v>
      </c>
      <c r="T9" s="210">
        <f t="shared" si="2"/>
        <v>267.25995211430893</v>
      </c>
      <c r="U9" s="210">
        <f t="shared" si="11"/>
        <v>304.99098181528524</v>
      </c>
      <c r="V9" s="75">
        <v>21856</v>
      </c>
      <c r="W9" s="75">
        <v>27132</v>
      </c>
      <c r="X9" s="76">
        <f t="shared" si="12"/>
        <v>1.0072339850878747</v>
      </c>
      <c r="Y9" s="77">
        <f t="shared" si="3"/>
        <v>0.9817878356487163</v>
      </c>
      <c r="Z9" s="210">
        <f t="shared" si="4"/>
        <v>21457.954935938342</v>
      </c>
      <c r="AA9" s="210">
        <f t="shared" si="17"/>
        <v>19457.954935938342</v>
      </c>
      <c r="AB9" s="211" t="s">
        <v>189</v>
      </c>
      <c r="AC9" s="210">
        <f t="shared" si="13"/>
        <v>21215.908993304525</v>
      </c>
      <c r="AD9" s="210">
        <f t="shared" si="14"/>
        <v>24329.808494652349</v>
      </c>
      <c r="AE9" s="210">
        <f t="shared" si="5"/>
        <v>1909.4318093974073</v>
      </c>
      <c r="AF9" s="210">
        <f t="shared" si="6"/>
        <v>2189.6827645187113</v>
      </c>
      <c r="AG9" s="210">
        <f t="shared" si="15"/>
        <v>260.82097643356121</v>
      </c>
      <c r="AH9" s="212">
        <f t="shared" si="16"/>
        <v>299.10216950965469</v>
      </c>
    </row>
    <row r="10" spans="1:34" x14ac:dyDescent="0.3">
      <c r="A10" s="120"/>
      <c r="B10" s="75" t="s">
        <v>90</v>
      </c>
      <c r="C10" s="75" t="s">
        <v>91</v>
      </c>
      <c r="D10" s="77">
        <v>0.18</v>
      </c>
      <c r="E10" s="75">
        <v>35</v>
      </c>
      <c r="F10" s="78">
        <v>3</v>
      </c>
      <c r="G10" s="79">
        <f t="shared" si="7"/>
        <v>9.7222222222222224E-3</v>
      </c>
      <c r="H10" s="75" t="s">
        <v>137</v>
      </c>
      <c r="I10" s="75" t="s">
        <v>150</v>
      </c>
      <c r="J10" s="75">
        <v>16000</v>
      </c>
      <c r="K10" s="75">
        <v>13000</v>
      </c>
      <c r="L10" s="75">
        <v>25156</v>
      </c>
      <c r="M10" s="75">
        <v>20371</v>
      </c>
      <c r="N10" s="75">
        <v>25094</v>
      </c>
      <c r="O10" s="76">
        <f t="shared" si="8"/>
        <v>1.0069747595528309</v>
      </c>
      <c r="P10" s="210">
        <f t="shared" si="9"/>
        <v>17391.738652758126</v>
      </c>
      <c r="Q10" s="210">
        <f t="shared" si="10"/>
        <v>19847.056789529212</v>
      </c>
      <c r="R10" s="210">
        <f t="shared" si="0"/>
        <v>3130.5129574964626</v>
      </c>
      <c r="S10" s="210">
        <f t="shared" si="1"/>
        <v>3572.4702221152579</v>
      </c>
      <c r="T10" s="210">
        <f t="shared" si="2"/>
        <v>596.7022713958205</v>
      </c>
      <c r="U10" s="210">
        <f t="shared" si="11"/>
        <v>680.94306746932364</v>
      </c>
      <c r="V10" s="75">
        <v>21856</v>
      </c>
      <c r="W10" s="75">
        <v>27132</v>
      </c>
      <c r="X10" s="76">
        <f t="shared" si="12"/>
        <v>1.0072339850878747</v>
      </c>
      <c r="Y10" s="77">
        <f t="shared" si="3"/>
        <v>0.78543026851897302</v>
      </c>
      <c r="Z10" s="210">
        <f t="shared" si="4"/>
        <v>17166.363948750673</v>
      </c>
      <c r="AA10" s="210">
        <f t="shared" si="17"/>
        <v>15166.363948750673</v>
      </c>
      <c r="AB10" s="211" t="s">
        <v>189</v>
      </c>
      <c r="AC10" s="210">
        <f t="shared" si="13"/>
        <v>16536.588678275297</v>
      </c>
      <c r="AD10" s="210">
        <f t="shared" si="14"/>
        <v>18963.695395952403</v>
      </c>
      <c r="AE10" s="210">
        <f t="shared" si="5"/>
        <v>2976.5859620895535</v>
      </c>
      <c r="AF10" s="210">
        <f t="shared" si="6"/>
        <v>3413.4651712714326</v>
      </c>
      <c r="AG10" s="210">
        <f t="shared" si="15"/>
        <v>567.36248298558814</v>
      </c>
      <c r="AH10" s="212">
        <f t="shared" si="16"/>
        <v>650.63535870398607</v>
      </c>
    </row>
    <row r="11" spans="1:34" x14ac:dyDescent="0.3">
      <c r="A11" s="120"/>
      <c r="B11" s="75" t="s">
        <v>91</v>
      </c>
      <c r="C11" s="75" t="s">
        <v>92</v>
      </c>
      <c r="D11" s="77">
        <v>0.17</v>
      </c>
      <c r="E11" s="75">
        <v>35</v>
      </c>
      <c r="F11" s="78">
        <v>0.5</v>
      </c>
      <c r="G11" s="79">
        <f t="shared" si="7"/>
        <v>9.7222222222222224E-3</v>
      </c>
      <c r="H11" s="75" t="s">
        <v>137</v>
      </c>
      <c r="I11" s="75" t="s">
        <v>150</v>
      </c>
      <c r="J11" s="75">
        <v>12000</v>
      </c>
      <c r="K11" s="75">
        <v>12000</v>
      </c>
      <c r="L11" s="75">
        <v>25148</v>
      </c>
      <c r="M11" s="75">
        <v>20371</v>
      </c>
      <c r="N11" s="75">
        <v>25094</v>
      </c>
      <c r="O11" s="76">
        <f t="shared" si="8"/>
        <v>1.0069747595528309</v>
      </c>
      <c r="P11" s="210">
        <f t="shared" si="9"/>
        <v>13043.803989568594</v>
      </c>
      <c r="Q11" s="210">
        <f t="shared" si="10"/>
        <v>14885.292592146909</v>
      </c>
      <c r="R11" s="210">
        <f t="shared" si="0"/>
        <v>2217.4466782266613</v>
      </c>
      <c r="S11" s="210">
        <f t="shared" si="1"/>
        <v>2530.4997406649745</v>
      </c>
      <c r="T11" s="210">
        <f t="shared" si="2"/>
        <v>126.76299988275196</v>
      </c>
      <c r="U11" s="210">
        <f t="shared" si="11"/>
        <v>144.65905380225311</v>
      </c>
      <c r="V11" s="75">
        <v>21856</v>
      </c>
      <c r="W11" s="75">
        <v>27132</v>
      </c>
      <c r="X11" s="76">
        <f t="shared" si="12"/>
        <v>1.0072339850878747</v>
      </c>
      <c r="Y11" s="77">
        <f t="shared" si="3"/>
        <v>0.58907270138922974</v>
      </c>
      <c r="Z11" s="210">
        <f t="shared" si="4"/>
        <v>12874.772961563005</v>
      </c>
      <c r="AA11" s="210">
        <f t="shared" si="17"/>
        <v>10874.772961563005</v>
      </c>
      <c r="AB11" s="211" t="s">
        <v>189</v>
      </c>
      <c r="AC11" s="210">
        <f t="shared" si="13"/>
        <v>11857.268363246072</v>
      </c>
      <c r="AD11" s="210">
        <f t="shared" si="14"/>
        <v>13597.582297252457</v>
      </c>
      <c r="AE11" s="210">
        <f t="shared" si="5"/>
        <v>2015.7356217518325</v>
      </c>
      <c r="AF11" s="210">
        <f t="shared" si="6"/>
        <v>2311.5889905329177</v>
      </c>
      <c r="AG11" s="210">
        <f t="shared" si="15"/>
        <v>115.23194532376839</v>
      </c>
      <c r="AH11" s="212">
        <f t="shared" si="16"/>
        <v>132.14475811893362</v>
      </c>
    </row>
    <row r="12" spans="1:34" x14ac:dyDescent="0.3">
      <c r="A12" s="120"/>
      <c r="B12" s="75" t="s">
        <v>92</v>
      </c>
      <c r="C12" s="75" t="s">
        <v>93</v>
      </c>
      <c r="D12" s="77">
        <v>0.12</v>
      </c>
      <c r="E12" s="75">
        <v>35</v>
      </c>
      <c r="F12" s="78">
        <v>0.5</v>
      </c>
      <c r="G12" s="79">
        <f t="shared" si="7"/>
        <v>9.7222222222222224E-3</v>
      </c>
      <c r="H12" s="75" t="s">
        <v>137</v>
      </c>
      <c r="I12" s="75" t="s">
        <v>150</v>
      </c>
      <c r="J12" s="75">
        <v>13000</v>
      </c>
      <c r="K12" s="75">
        <v>13000</v>
      </c>
      <c r="L12" s="75">
        <v>24975</v>
      </c>
      <c r="M12" s="75">
        <v>23189</v>
      </c>
      <c r="N12" s="75">
        <v>29367</v>
      </c>
      <c r="O12" s="76">
        <f t="shared" si="8"/>
        <v>1.0079041933862232</v>
      </c>
      <c r="P12" s="210">
        <f t="shared" si="9"/>
        <v>14288.096586998368</v>
      </c>
      <c r="Q12" s="210">
        <f t="shared" si="10"/>
        <v>16593.582811386957</v>
      </c>
      <c r="R12" s="210">
        <f t="shared" si="0"/>
        <v>1714.5715904398041</v>
      </c>
      <c r="S12" s="210">
        <f t="shared" si="1"/>
        <v>1991.2299373664348</v>
      </c>
      <c r="T12" s="210">
        <f t="shared" si="2"/>
        <v>118.44378480253806</v>
      </c>
      <c r="U12" s="210">
        <f t="shared" si="11"/>
        <v>137.55553370233076</v>
      </c>
      <c r="V12" s="75">
        <v>24692</v>
      </c>
      <c r="W12" s="75">
        <v>31445</v>
      </c>
      <c r="X12" s="76">
        <f t="shared" si="12"/>
        <v>1.008091248087831</v>
      </c>
      <c r="Y12" s="77">
        <f t="shared" si="3"/>
        <v>0.5606106343524947</v>
      </c>
      <c r="Z12" s="213">
        <f t="shared" si="4"/>
        <v>13842.597783431798</v>
      </c>
      <c r="AA12" s="210">
        <f>Z12-1000</f>
        <v>12842.597783431798</v>
      </c>
      <c r="AB12" s="211" t="s">
        <v>190</v>
      </c>
      <c r="AC12" s="210">
        <f t="shared" si="13"/>
        <v>14146.56545735793</v>
      </c>
      <c r="AD12" s="210">
        <f t="shared" si="14"/>
        <v>16487.243658449228</v>
      </c>
      <c r="AE12" s="210">
        <f t="shared" si="5"/>
        <v>1697.5878548829517</v>
      </c>
      <c r="AF12" s="210">
        <f t="shared" si="6"/>
        <v>1978.4692390139073</v>
      </c>
      <c r="AG12" s="210">
        <f t="shared" si="15"/>
        <v>117.27053666833618</v>
      </c>
      <c r="AH12" s="212">
        <f t="shared" si="16"/>
        <v>136.67401588293825</v>
      </c>
    </row>
    <row r="13" spans="1:34" x14ac:dyDescent="0.3">
      <c r="A13" s="120"/>
      <c r="B13" s="75" t="s">
        <v>93</v>
      </c>
      <c r="C13" s="75" t="s">
        <v>94</v>
      </c>
      <c r="D13" s="77">
        <v>0.14000000000000001</v>
      </c>
      <c r="E13" s="75">
        <v>35</v>
      </c>
      <c r="F13" s="78">
        <v>0.5</v>
      </c>
      <c r="G13" s="79">
        <f t="shared" si="7"/>
        <v>9.7222222222222224E-3</v>
      </c>
      <c r="H13" s="75" t="s">
        <v>137</v>
      </c>
      <c r="I13" s="75" t="s">
        <v>150</v>
      </c>
      <c r="J13" s="75">
        <v>23000</v>
      </c>
      <c r="K13" s="75">
        <v>21000</v>
      </c>
      <c r="L13" s="75">
        <v>25048</v>
      </c>
      <c r="M13" s="75">
        <v>26452</v>
      </c>
      <c r="N13" s="75">
        <v>35259</v>
      </c>
      <c r="O13" s="76">
        <f t="shared" si="8"/>
        <v>1.0096256664401102</v>
      </c>
      <c r="P13" s="210">
        <f t="shared" si="9"/>
        <v>25801.943907255318</v>
      </c>
      <c r="Q13" s="210">
        <f t="shared" si="10"/>
        <v>30952.782458009831</v>
      </c>
      <c r="R13" s="210">
        <f t="shared" si="0"/>
        <v>3612.2721470157448</v>
      </c>
      <c r="S13" s="210">
        <f t="shared" si="1"/>
        <v>4333.3895441213772</v>
      </c>
      <c r="T13" s="210">
        <f t="shared" si="2"/>
        <v>228.63389184484575</v>
      </c>
      <c r="U13" s="210">
        <f t="shared" si="11"/>
        <v>274.27604455847603</v>
      </c>
      <c r="V13" s="75">
        <v>26595</v>
      </c>
      <c r="W13" s="75">
        <v>35402</v>
      </c>
      <c r="X13" s="76">
        <f t="shared" si="12"/>
        <v>1.0095804376206192</v>
      </c>
      <c r="Y13" s="77">
        <f t="shared" si="3"/>
        <v>0.86949947073945255</v>
      </c>
      <c r="Z13" s="210">
        <f t="shared" si="4"/>
        <v>23124.338424315742</v>
      </c>
      <c r="AA13" s="210">
        <f t="shared" ref="AA13:AA18" si="18">Z13-1000</f>
        <v>22124.338424315742</v>
      </c>
      <c r="AB13" s="211" t="s">
        <v>190</v>
      </c>
      <c r="AC13" s="210">
        <f t="shared" si="13"/>
        <v>24806.267021601161</v>
      </c>
      <c r="AD13" s="210">
        <f t="shared" si="14"/>
        <v>29733.019992592246</v>
      </c>
      <c r="AE13" s="210">
        <f t="shared" si="5"/>
        <v>3472.877383024163</v>
      </c>
      <c r="AF13" s="210">
        <f t="shared" si="6"/>
        <v>4162.6227989629151</v>
      </c>
      <c r="AG13" s="210">
        <f t="shared" si="15"/>
        <v>219.81108833029919</v>
      </c>
      <c r="AH13" s="212">
        <f t="shared" si="16"/>
        <v>263.46759382324797</v>
      </c>
    </row>
    <row r="14" spans="1:34" x14ac:dyDescent="0.3">
      <c r="A14" s="120"/>
      <c r="B14" s="75" t="s">
        <v>94</v>
      </c>
      <c r="C14" s="75" t="s">
        <v>95</v>
      </c>
      <c r="D14" s="77">
        <v>0.37</v>
      </c>
      <c r="E14" s="75">
        <v>35</v>
      </c>
      <c r="F14" s="78">
        <v>1.5</v>
      </c>
      <c r="G14" s="79">
        <f t="shared" si="7"/>
        <v>9.7222222222222224E-3</v>
      </c>
      <c r="H14" s="75" t="s">
        <v>137</v>
      </c>
      <c r="I14" s="75" t="s">
        <v>150</v>
      </c>
      <c r="J14" s="75">
        <v>24000</v>
      </c>
      <c r="K14" s="75">
        <v>22000</v>
      </c>
      <c r="L14" s="75">
        <v>25044</v>
      </c>
      <c r="M14" s="75">
        <v>26296</v>
      </c>
      <c r="N14" s="75">
        <v>32405</v>
      </c>
      <c r="O14" s="76">
        <f t="shared" si="8"/>
        <v>1.0069874959379324</v>
      </c>
      <c r="P14" s="210">
        <f t="shared" si="9"/>
        <v>26091.56777971633</v>
      </c>
      <c r="Q14" s="210">
        <f t="shared" si="10"/>
        <v>29782.260242654749</v>
      </c>
      <c r="R14" s="210">
        <f t="shared" si="0"/>
        <v>9653.8800784950417</v>
      </c>
      <c r="S14" s="210">
        <f t="shared" si="1"/>
        <v>11019.436289782258</v>
      </c>
      <c r="T14" s="210">
        <f t="shared" si="2"/>
        <v>656.32717522072153</v>
      </c>
      <c r="U14" s="210">
        <f t="shared" si="11"/>
        <v>749.16566538963673</v>
      </c>
      <c r="V14" s="75">
        <v>24145</v>
      </c>
      <c r="W14" s="75">
        <v>29741</v>
      </c>
      <c r="X14" s="76">
        <f t="shared" si="12"/>
        <v>1.0069725036964969</v>
      </c>
      <c r="Y14" s="77">
        <f t="shared" si="3"/>
        <v>0.91268634012777605</v>
      </c>
      <c r="Z14" s="210">
        <f t="shared" si="4"/>
        <v>22036.811682385152</v>
      </c>
      <c r="AA14" s="210">
        <f t="shared" si="18"/>
        <v>21036.811682385152</v>
      </c>
      <c r="AB14" s="211" t="s">
        <v>190</v>
      </c>
      <c r="AC14" s="210">
        <f t="shared" si="13"/>
        <v>22866.055967216787</v>
      </c>
      <c r="AD14" s="210">
        <f t="shared" si="14"/>
        <v>26093.112600427656</v>
      </c>
      <c r="AE14" s="210">
        <f t="shared" si="5"/>
        <v>8460.4407078702116</v>
      </c>
      <c r="AF14" s="210">
        <f t="shared" si="6"/>
        <v>9654.4516621582334</v>
      </c>
      <c r="AG14" s="210">
        <f t="shared" si="15"/>
        <v>575.19019355629848</v>
      </c>
      <c r="AH14" s="212">
        <f t="shared" si="16"/>
        <v>656.36603481790041</v>
      </c>
    </row>
    <row r="15" spans="1:34" x14ac:dyDescent="0.3">
      <c r="A15" s="120"/>
      <c r="B15" s="75" t="s">
        <v>95</v>
      </c>
      <c r="C15" s="75" t="s">
        <v>96</v>
      </c>
      <c r="D15" s="77">
        <v>0.96</v>
      </c>
      <c r="E15" s="75">
        <v>35</v>
      </c>
      <c r="F15" s="78">
        <v>2.5</v>
      </c>
      <c r="G15" s="79">
        <f t="shared" si="7"/>
        <v>9.7222222222222224E-3</v>
      </c>
      <c r="H15" s="75" t="s">
        <v>137</v>
      </c>
      <c r="I15" s="75" t="s">
        <v>150</v>
      </c>
      <c r="J15" s="75">
        <v>28000</v>
      </c>
      <c r="K15" s="75">
        <v>27000</v>
      </c>
      <c r="L15" s="75">
        <v>25029</v>
      </c>
      <c r="M15" s="75">
        <v>27583</v>
      </c>
      <c r="N15" s="75">
        <v>33892</v>
      </c>
      <c r="O15" s="76">
        <f t="shared" si="8"/>
        <v>1.0068896034496755</v>
      </c>
      <c r="P15" s="210">
        <f t="shared" si="9"/>
        <v>30404.671158570145</v>
      </c>
      <c r="Q15" s="210">
        <f t="shared" si="10"/>
        <v>34641.412040868003</v>
      </c>
      <c r="R15" s="210">
        <f t="shared" si="0"/>
        <v>29188.484312227338</v>
      </c>
      <c r="S15" s="210">
        <f t="shared" si="1"/>
        <v>33255.755559233279</v>
      </c>
      <c r="T15" s="210">
        <f t="shared" si="2"/>
        <v>1572.9591186280911</v>
      </c>
      <c r="U15" s="210">
        <f t="shared" si="11"/>
        <v>1792.1432094317306</v>
      </c>
      <c r="V15" s="75">
        <v>25435</v>
      </c>
      <c r="W15" s="75">
        <v>31224</v>
      </c>
      <c r="X15" s="76">
        <f t="shared" si="12"/>
        <v>1.0068587761232783</v>
      </c>
      <c r="Y15" s="77">
        <f t="shared" si="3"/>
        <v>1.0151180074683681</v>
      </c>
      <c r="Z15" s="210">
        <f t="shared" si="4"/>
        <v>25819.526519957944</v>
      </c>
      <c r="AA15" s="210">
        <f t="shared" si="18"/>
        <v>24819.526519957944</v>
      </c>
      <c r="AB15" s="211" t="s">
        <v>190</v>
      </c>
      <c r="AC15" s="210">
        <f t="shared" si="13"/>
        <v>26941.155015320172</v>
      </c>
      <c r="AD15" s="210">
        <f t="shared" si="14"/>
        <v>30677.421143488758</v>
      </c>
      <c r="AE15" s="210">
        <f t="shared" si="5"/>
        <v>25863.508814707362</v>
      </c>
      <c r="AF15" s="210">
        <f t="shared" si="6"/>
        <v>29450.324297749208</v>
      </c>
      <c r="AG15" s="210">
        <f t="shared" si="15"/>
        <v>1393.7771346616232</v>
      </c>
      <c r="AH15" s="212">
        <f t="shared" si="16"/>
        <v>1587.0696009827893</v>
      </c>
    </row>
    <row r="16" spans="1:34" x14ac:dyDescent="0.3">
      <c r="A16" s="120"/>
      <c r="B16" s="75" t="s">
        <v>96</v>
      </c>
      <c r="C16" s="75" t="s">
        <v>97</v>
      </c>
      <c r="D16" s="77">
        <v>0.14000000000000001</v>
      </c>
      <c r="E16" s="75">
        <v>35</v>
      </c>
      <c r="F16" s="78">
        <v>1.5</v>
      </c>
      <c r="G16" s="79">
        <f t="shared" si="7"/>
        <v>9.7222222222222224E-3</v>
      </c>
      <c r="H16" s="75" t="s">
        <v>137</v>
      </c>
      <c r="I16" s="75" t="s">
        <v>150</v>
      </c>
      <c r="J16" s="75">
        <v>22000</v>
      </c>
      <c r="K16" s="75">
        <v>21000</v>
      </c>
      <c r="L16" s="75">
        <v>25005</v>
      </c>
      <c r="M16" s="75">
        <v>14195</v>
      </c>
      <c r="N16" s="75">
        <v>14532</v>
      </c>
      <c r="O16" s="76">
        <f t="shared" si="8"/>
        <v>1.0007824167428818</v>
      </c>
      <c r="P16" s="210">
        <f t="shared" si="9"/>
        <v>22207.449221947612</v>
      </c>
      <c r="Q16" s="210">
        <f t="shared" si="10"/>
        <v>22539.918405238841</v>
      </c>
      <c r="R16" s="210">
        <f t="shared" si="0"/>
        <v>3109.042891072666</v>
      </c>
      <c r="S16" s="210">
        <f t="shared" si="1"/>
        <v>3155.588576733438</v>
      </c>
      <c r="T16" s="210">
        <f t="shared" si="2"/>
        <v>412.68843137452649</v>
      </c>
      <c r="U16" s="210">
        <f t="shared" si="11"/>
        <v>418.86681703068848</v>
      </c>
      <c r="V16" s="75">
        <v>12790</v>
      </c>
      <c r="W16" s="75">
        <v>13243</v>
      </c>
      <c r="X16" s="76">
        <f t="shared" si="12"/>
        <v>1.001160856451321</v>
      </c>
      <c r="Y16" s="77">
        <f t="shared" si="3"/>
        <v>1.5498414934836211</v>
      </c>
      <c r="Z16" s="210">
        <f t="shared" si="4"/>
        <v>19822.472701655515</v>
      </c>
      <c r="AA16" s="210">
        <f t="shared" si="18"/>
        <v>18822.472701655515</v>
      </c>
      <c r="AB16" s="211" t="s">
        <v>190</v>
      </c>
      <c r="AC16" s="210">
        <f t="shared" si="13"/>
        <v>19086.355548461914</v>
      </c>
      <c r="AD16" s="210">
        <f t="shared" si="14"/>
        <v>19511.756687972589</v>
      </c>
      <c r="AE16" s="210">
        <f t="shared" si="5"/>
        <v>2672.0897767846682</v>
      </c>
      <c r="AF16" s="210">
        <f t="shared" si="6"/>
        <v>2731.6459363161625</v>
      </c>
      <c r="AG16" s="210">
        <f t="shared" si="15"/>
        <v>354.68810727558389</v>
      </c>
      <c r="AH16" s="212">
        <f t="shared" si="16"/>
        <v>362.59347845149063</v>
      </c>
    </row>
    <row r="17" spans="1:34" x14ac:dyDescent="0.3">
      <c r="A17" s="120"/>
      <c r="B17" s="75" t="s">
        <v>97</v>
      </c>
      <c r="C17" s="75" t="s">
        <v>98</v>
      </c>
      <c r="D17" s="77">
        <v>0.27</v>
      </c>
      <c r="E17" s="75">
        <v>35</v>
      </c>
      <c r="F17" s="78">
        <v>1.5</v>
      </c>
      <c r="G17" s="79">
        <f t="shared" si="7"/>
        <v>9.7222222222222224E-3</v>
      </c>
      <c r="H17" s="75" t="s">
        <v>137</v>
      </c>
      <c r="I17" s="75" t="s">
        <v>150</v>
      </c>
      <c r="J17" s="75">
        <v>24000</v>
      </c>
      <c r="K17" s="75">
        <v>22000</v>
      </c>
      <c r="L17" s="75">
        <v>24997</v>
      </c>
      <c r="M17" s="75">
        <v>14207</v>
      </c>
      <c r="N17" s="75">
        <v>14566</v>
      </c>
      <c r="O17" s="76">
        <f t="shared" si="8"/>
        <v>1.0008321875729509</v>
      </c>
      <c r="P17" s="210">
        <f t="shared" si="9"/>
        <v>24240.770046956717</v>
      </c>
      <c r="Q17" s="210">
        <f t="shared" si="10"/>
        <v>24626.938794995644</v>
      </c>
      <c r="R17" s="210">
        <f t="shared" si="0"/>
        <v>6545.0079126783139</v>
      </c>
      <c r="S17" s="210">
        <f t="shared" si="1"/>
        <v>6649.273474648824</v>
      </c>
      <c r="T17" s="210">
        <f t="shared" si="2"/>
        <v>540.51145592797536</v>
      </c>
      <c r="U17" s="210">
        <f t="shared" si="11"/>
        <v>549.12209955984338</v>
      </c>
      <c r="V17" s="75">
        <v>12802</v>
      </c>
      <c r="W17" s="75">
        <v>13276</v>
      </c>
      <c r="X17" s="76">
        <f t="shared" si="12"/>
        <v>1.0012126174646676</v>
      </c>
      <c r="Y17" s="77">
        <f t="shared" si="3"/>
        <v>1.6893080875624693</v>
      </c>
      <c r="Z17" s="210">
        <f t="shared" si="4"/>
        <v>21626.522136974731</v>
      </c>
      <c r="AA17" s="210">
        <f t="shared" si="18"/>
        <v>20626.522136974731</v>
      </c>
      <c r="AB17" s="211" t="s">
        <v>190</v>
      </c>
      <c r="AC17" s="210">
        <f t="shared" si="13"/>
        <v>20928.67700786268</v>
      </c>
      <c r="AD17" s="210">
        <f t="shared" si="14"/>
        <v>21416.166870610014</v>
      </c>
      <c r="AE17" s="210">
        <f t="shared" si="5"/>
        <v>5650.7427921229237</v>
      </c>
      <c r="AF17" s="210">
        <f t="shared" si="6"/>
        <v>5782.3650550647044</v>
      </c>
      <c r="AG17" s="210">
        <f t="shared" si="15"/>
        <v>466.65966709198574</v>
      </c>
      <c r="AH17" s="212">
        <f t="shared" si="16"/>
        <v>477.52953034110186</v>
      </c>
    </row>
    <row r="18" spans="1:34" x14ac:dyDescent="0.3">
      <c r="A18" s="122"/>
      <c r="B18" s="95" t="s">
        <v>98</v>
      </c>
      <c r="C18" s="95" t="s">
        <v>105</v>
      </c>
      <c r="D18" s="96">
        <v>0.91</v>
      </c>
      <c r="E18" s="95">
        <v>35</v>
      </c>
      <c r="F18" s="97">
        <v>2</v>
      </c>
      <c r="G18" s="98">
        <f t="shared" si="7"/>
        <v>9.7222222222222224E-3</v>
      </c>
      <c r="H18" s="95" t="s">
        <v>137</v>
      </c>
      <c r="I18" s="95" t="s">
        <v>150</v>
      </c>
      <c r="J18" s="95">
        <v>25000</v>
      </c>
      <c r="K18" s="95">
        <v>22000</v>
      </c>
      <c r="L18" s="95">
        <v>24995</v>
      </c>
      <c r="M18" s="95">
        <v>14719</v>
      </c>
      <c r="N18" s="95">
        <v>15027</v>
      </c>
      <c r="O18" s="99">
        <f t="shared" si="8"/>
        <v>1.0006905518823466</v>
      </c>
      <c r="P18" s="215">
        <f t="shared" si="9"/>
        <v>25207.954200798133</v>
      </c>
      <c r="Q18" s="215">
        <f t="shared" si="10"/>
        <v>25540.758412826948</v>
      </c>
      <c r="R18" s="215">
        <f t="shared" si="0"/>
        <v>22939.238322726302</v>
      </c>
      <c r="S18" s="215">
        <f t="shared" si="1"/>
        <v>23242.090155672522</v>
      </c>
      <c r="T18" s="215">
        <f t="shared" si="2"/>
        <v>1145.5614742362707</v>
      </c>
      <c r="U18" s="215">
        <f t="shared" si="11"/>
        <v>1160.6855767606914</v>
      </c>
      <c r="V18" s="95">
        <v>13284</v>
      </c>
      <c r="W18" s="95">
        <v>13682</v>
      </c>
      <c r="X18" s="99">
        <f t="shared" si="12"/>
        <v>1.0009845108737923</v>
      </c>
      <c r="Y18" s="96">
        <f t="shared" si="3"/>
        <v>1.6984849514233304</v>
      </c>
      <c r="Z18" s="215">
        <f t="shared" si="4"/>
        <v>22562.674094707523</v>
      </c>
      <c r="AA18" s="215">
        <f t="shared" si="18"/>
        <v>21562.674094707523</v>
      </c>
      <c r="AB18" s="406" t="s">
        <v>190</v>
      </c>
      <c r="AC18" s="215">
        <f t="shared" si="13"/>
        <v>21818.802268513504</v>
      </c>
      <c r="AD18" s="215">
        <f t="shared" si="14"/>
        <v>22230.574966944139</v>
      </c>
      <c r="AE18" s="215">
        <f t="shared" si="5"/>
        <v>19855.110064347289</v>
      </c>
      <c r="AF18" s="215">
        <f t="shared" si="6"/>
        <v>20229.823219919166</v>
      </c>
      <c r="AG18" s="215">
        <f t="shared" si="15"/>
        <v>991.54334753578041</v>
      </c>
      <c r="AH18" s="218">
        <f t="shared" si="16"/>
        <v>1010.2561290533504</v>
      </c>
    </row>
    <row r="19" spans="1:34" x14ac:dyDescent="0.3">
      <c r="A19" s="121" t="s">
        <v>85</v>
      </c>
      <c r="B19" s="100" t="s">
        <v>99</v>
      </c>
      <c r="C19" s="100" t="s">
        <v>100</v>
      </c>
      <c r="D19" s="101">
        <v>0.35</v>
      </c>
      <c r="E19" s="100">
        <v>30</v>
      </c>
      <c r="F19" s="102">
        <v>0</v>
      </c>
      <c r="G19" s="103">
        <f t="shared" si="7"/>
        <v>9.7222222222222224E-3</v>
      </c>
      <c r="H19" s="100" t="s">
        <v>136</v>
      </c>
      <c r="I19" s="100" t="s">
        <v>148</v>
      </c>
      <c r="J19" s="100">
        <v>6300</v>
      </c>
      <c r="K19" s="100">
        <v>6500</v>
      </c>
      <c r="L19" s="100">
        <v>25303</v>
      </c>
      <c r="M19" s="100">
        <v>6881</v>
      </c>
      <c r="N19" s="100">
        <v>9211</v>
      </c>
      <c r="O19" s="104">
        <f t="shared" si="8"/>
        <v>1.0097685515648052</v>
      </c>
      <c r="P19" s="207">
        <f t="shared" si="9"/>
        <v>7079.5008663106873</v>
      </c>
      <c r="Q19" s="207">
        <f t="shared" si="10"/>
        <v>8515.6463027640712</v>
      </c>
      <c r="R19" s="207">
        <f t="shared" si="0"/>
        <v>2477.8253032087405</v>
      </c>
      <c r="S19" s="207">
        <f t="shared" si="1"/>
        <v>2980.4762059674249</v>
      </c>
      <c r="T19" s="207">
        <f t="shared" si="2"/>
        <v>82.594176773624682</v>
      </c>
      <c r="U19" s="207">
        <f t="shared" si="11"/>
        <v>99.349206865580825</v>
      </c>
      <c r="V19" s="100">
        <v>0</v>
      </c>
      <c r="W19" s="100">
        <v>0</v>
      </c>
      <c r="X19" s="104">
        <f>O19</f>
        <v>1.0097685515648052</v>
      </c>
      <c r="Y19" s="101">
        <f t="shared" si="3"/>
        <v>0.91556459816887081</v>
      </c>
      <c r="Z19" s="207">
        <f t="shared" si="4"/>
        <v>0</v>
      </c>
      <c r="AA19" s="407">
        <v>1250</v>
      </c>
      <c r="AB19" s="208" t="s">
        <v>219</v>
      </c>
      <c r="AC19" s="207">
        <f t="shared" si="13"/>
        <v>1404.6628702997396</v>
      </c>
      <c r="AD19" s="207">
        <f t="shared" si="14"/>
        <v>1689.612361659538</v>
      </c>
      <c r="AE19" s="207">
        <f t="shared" si="5"/>
        <v>491.63200460490879</v>
      </c>
      <c r="AF19" s="207">
        <f t="shared" si="6"/>
        <v>591.36432658083822</v>
      </c>
      <c r="AG19" s="207">
        <f t="shared" si="15"/>
        <v>16.387733486830292</v>
      </c>
      <c r="AH19" s="209">
        <f t="shared" si="16"/>
        <v>19.712144219361274</v>
      </c>
    </row>
    <row r="20" spans="1:34" x14ac:dyDescent="0.3">
      <c r="A20" s="122"/>
      <c r="B20" s="95" t="s">
        <v>100</v>
      </c>
      <c r="C20" s="95" t="s">
        <v>127</v>
      </c>
      <c r="D20" s="96">
        <v>1.27</v>
      </c>
      <c r="E20" s="95">
        <v>30</v>
      </c>
      <c r="F20" s="97">
        <v>0</v>
      </c>
      <c r="G20" s="98">
        <f t="shared" si="7"/>
        <v>9.7222222222222224E-3</v>
      </c>
      <c r="H20" s="95" t="s">
        <v>136</v>
      </c>
      <c r="I20" s="95" t="s">
        <v>148</v>
      </c>
      <c r="J20" s="95">
        <v>7000</v>
      </c>
      <c r="K20" s="95">
        <v>6800</v>
      </c>
      <c r="L20" s="95">
        <v>25127</v>
      </c>
      <c r="M20" s="95">
        <v>10892</v>
      </c>
      <c r="N20" s="95">
        <v>14644</v>
      </c>
      <c r="O20" s="99">
        <f t="shared" si="8"/>
        <v>1.0099155740887764</v>
      </c>
      <c r="P20" s="215">
        <f t="shared" si="9"/>
        <v>7879.8667768354244</v>
      </c>
      <c r="Q20" s="215">
        <f t="shared" si="10"/>
        <v>9504.6296060129025</v>
      </c>
      <c r="R20" s="215">
        <f t="shared" si="0"/>
        <v>10007.430806580989</v>
      </c>
      <c r="S20" s="215">
        <f t="shared" si="1"/>
        <v>12070.879599636386</v>
      </c>
      <c r="T20" s="215">
        <f t="shared" si="2"/>
        <v>333.58102688603299</v>
      </c>
      <c r="U20" s="215">
        <f t="shared" si="11"/>
        <v>402.36265332121286</v>
      </c>
      <c r="V20" s="95">
        <v>0</v>
      </c>
      <c r="W20" s="95">
        <v>0</v>
      </c>
      <c r="X20" s="99">
        <f>O20</f>
        <v>1.0099155740887764</v>
      </c>
      <c r="Y20" s="96">
        <f t="shared" si="3"/>
        <v>0.64267352185089976</v>
      </c>
      <c r="Z20" s="215">
        <f t="shared" si="4"/>
        <v>0</v>
      </c>
      <c r="AA20" s="216">
        <v>1250</v>
      </c>
      <c r="AB20" s="406" t="s">
        <v>220</v>
      </c>
      <c r="AC20" s="215">
        <f t="shared" si="13"/>
        <v>1407.11906729204</v>
      </c>
      <c r="AD20" s="215">
        <f t="shared" si="14"/>
        <v>1697.2552867880183</v>
      </c>
      <c r="AE20" s="215">
        <f t="shared" si="5"/>
        <v>1787.0412154608907</v>
      </c>
      <c r="AF20" s="215">
        <f t="shared" si="6"/>
        <v>2155.5142142207833</v>
      </c>
      <c r="AG20" s="215">
        <f t="shared" si="15"/>
        <v>59.568040515363023</v>
      </c>
      <c r="AH20" s="218">
        <f t="shared" si="16"/>
        <v>71.85047380735945</v>
      </c>
    </row>
    <row r="21" spans="1:34" x14ac:dyDescent="0.3">
      <c r="A21" s="121" t="s">
        <v>139</v>
      </c>
      <c r="B21" s="100" t="s">
        <v>101</v>
      </c>
      <c r="C21" s="100" t="s">
        <v>97</v>
      </c>
      <c r="D21" s="101">
        <v>0.21</v>
      </c>
      <c r="E21" s="100">
        <v>35</v>
      </c>
      <c r="F21" s="102">
        <v>0.5</v>
      </c>
      <c r="G21" s="103">
        <f t="shared" si="7"/>
        <v>9.7222222222222224E-3</v>
      </c>
      <c r="H21" s="100" t="s">
        <v>137</v>
      </c>
      <c r="I21" s="100" t="s">
        <v>148</v>
      </c>
      <c r="J21" s="100">
        <v>11000</v>
      </c>
      <c r="K21" s="100">
        <v>11000</v>
      </c>
      <c r="L21" s="100">
        <v>25006</v>
      </c>
      <c r="M21" s="100">
        <v>15984</v>
      </c>
      <c r="N21" s="100">
        <v>20962</v>
      </c>
      <c r="O21" s="104">
        <f t="shared" si="8"/>
        <v>1.0090783960121632</v>
      </c>
      <c r="P21" s="207">
        <f t="shared" si="9"/>
        <v>12260.031427655542</v>
      </c>
      <c r="Q21" s="207">
        <f t="shared" si="10"/>
        <v>14556.763933263017</v>
      </c>
      <c r="R21" s="207">
        <f t="shared" si="0"/>
        <v>2574.6065998076638</v>
      </c>
      <c r="S21" s="207">
        <f t="shared" si="1"/>
        <v>3056.9204259852336</v>
      </c>
      <c r="T21" s="207">
        <f t="shared" si="2"/>
        <v>133.15756356148103</v>
      </c>
      <c r="U21" s="207">
        <f t="shared" si="11"/>
        <v>158.10263049738444</v>
      </c>
      <c r="V21" s="100">
        <v>15324</v>
      </c>
      <c r="W21" s="100">
        <v>19691</v>
      </c>
      <c r="X21" s="104">
        <f t="shared" si="12"/>
        <v>1.0083930743922729</v>
      </c>
      <c r="Y21" s="101">
        <f t="shared" si="3"/>
        <v>0.68818818818818817</v>
      </c>
      <c r="Z21" s="207">
        <f t="shared" si="4"/>
        <v>10545.795795795795</v>
      </c>
      <c r="AA21" s="207">
        <f>Z21+(Z21-J21)/($AA$55-1000)*1000</f>
        <v>10392.86786327683</v>
      </c>
      <c r="AB21" s="208" t="s">
        <v>191</v>
      </c>
      <c r="AC21" s="207">
        <f t="shared" si="13"/>
        <v>11489.302317853728</v>
      </c>
      <c r="AD21" s="207">
        <f t="shared" si="14"/>
        <v>13466.690803402458</v>
      </c>
      <c r="AE21" s="207">
        <f t="shared" si="5"/>
        <v>2412.7534867492827</v>
      </c>
      <c r="AF21" s="207">
        <f t="shared" si="6"/>
        <v>2828.0050687145163</v>
      </c>
      <c r="AG21" s="207">
        <f t="shared" si="15"/>
        <v>124.78658906335576</v>
      </c>
      <c r="AH21" s="209">
        <f t="shared" si="16"/>
        <v>146.26322511473225</v>
      </c>
    </row>
    <row r="22" spans="1:34" x14ac:dyDescent="0.3">
      <c r="A22" s="120"/>
      <c r="B22" s="75" t="s">
        <v>97</v>
      </c>
      <c r="C22" s="75" t="s">
        <v>98</v>
      </c>
      <c r="D22" s="77">
        <v>0.33</v>
      </c>
      <c r="E22" s="75">
        <v>35</v>
      </c>
      <c r="F22" s="78">
        <v>1</v>
      </c>
      <c r="G22" s="79">
        <f t="shared" si="7"/>
        <v>9.7222222222222224E-3</v>
      </c>
      <c r="H22" s="75" t="s">
        <v>137</v>
      </c>
      <c r="I22" s="75" t="s">
        <v>148</v>
      </c>
      <c r="J22" s="75">
        <v>14000</v>
      </c>
      <c r="K22" s="75">
        <v>14000</v>
      </c>
      <c r="L22" s="75">
        <v>24268</v>
      </c>
      <c r="M22" s="75">
        <v>16777</v>
      </c>
      <c r="N22" s="75">
        <v>22555</v>
      </c>
      <c r="O22" s="76">
        <f t="shared" si="8"/>
        <v>1.009913747813828</v>
      </c>
      <c r="P22" s="210">
        <f t="shared" si="9"/>
        <v>15759.391568803225</v>
      </c>
      <c r="Q22" s="210">
        <f t="shared" si="10"/>
        <v>19008.193607150966</v>
      </c>
      <c r="R22" s="210">
        <f t="shared" si="0"/>
        <v>5200.5992177050648</v>
      </c>
      <c r="S22" s="210">
        <f t="shared" si="1"/>
        <v>6272.7038903598195</v>
      </c>
      <c r="T22" s="210">
        <f t="shared" si="2"/>
        <v>301.80485599620778</v>
      </c>
      <c r="U22" s="210">
        <f t="shared" si="11"/>
        <v>364.02199344488321</v>
      </c>
      <c r="V22" s="75">
        <v>16258</v>
      </c>
      <c r="W22" s="75">
        <v>21252</v>
      </c>
      <c r="X22" s="76">
        <f t="shared" si="12"/>
        <v>1.0089688449866399</v>
      </c>
      <c r="Y22" s="77">
        <f t="shared" si="3"/>
        <v>0.83447577039995235</v>
      </c>
      <c r="Z22" s="210">
        <f t="shared" si="4"/>
        <v>13566.907075162426</v>
      </c>
      <c r="AA22" s="210">
        <f t="shared" ref="AA22:AA34" si="19">Z22+(Z22-J22)/($AA$55-1000)*1000</f>
        <v>13421.087188488227</v>
      </c>
      <c r="AB22" s="211" t="s">
        <v>191</v>
      </c>
      <c r="AC22" s="210">
        <f t="shared" si="13"/>
        <v>14938.974051916997</v>
      </c>
      <c r="AD22" s="210">
        <f t="shared" si="14"/>
        <v>17701.013854542398</v>
      </c>
      <c r="AE22" s="210">
        <f t="shared" si="5"/>
        <v>4929.8614371326094</v>
      </c>
      <c r="AF22" s="210">
        <f t="shared" si="6"/>
        <v>5841.334571998992</v>
      </c>
      <c r="AG22" s="210">
        <f t="shared" si="15"/>
        <v>286.09320942282312</v>
      </c>
      <c r="AH22" s="212">
        <f t="shared" si="16"/>
        <v>338.988463738181</v>
      </c>
    </row>
    <row r="23" spans="1:34" x14ac:dyDescent="0.3">
      <c r="A23" s="122"/>
      <c r="B23" s="95" t="s">
        <v>98</v>
      </c>
      <c r="C23" s="95" t="s">
        <v>105</v>
      </c>
      <c r="D23" s="96">
        <v>1</v>
      </c>
      <c r="E23" s="95">
        <v>35</v>
      </c>
      <c r="F23" s="97">
        <v>5</v>
      </c>
      <c r="G23" s="98">
        <f t="shared" si="7"/>
        <v>9.7222222222222224E-3</v>
      </c>
      <c r="H23" s="95" t="s">
        <v>137</v>
      </c>
      <c r="I23" s="95" t="s">
        <v>150</v>
      </c>
      <c r="J23" s="95">
        <v>13000</v>
      </c>
      <c r="K23" s="95">
        <v>16000</v>
      </c>
      <c r="L23" s="95">
        <v>23986</v>
      </c>
      <c r="M23" s="95">
        <v>19343</v>
      </c>
      <c r="N23" s="95">
        <v>24470</v>
      </c>
      <c r="O23" s="99">
        <f t="shared" si="8"/>
        <v>1.0078680342587185</v>
      </c>
      <c r="P23" s="215">
        <f t="shared" si="9"/>
        <v>14281.946678944749</v>
      </c>
      <c r="Q23" s="215">
        <f t="shared" si="10"/>
        <v>16575.138312466621</v>
      </c>
      <c r="R23" s="215">
        <f t="shared" si="0"/>
        <v>14281.946678944749</v>
      </c>
      <c r="S23" s="215">
        <f t="shared" si="1"/>
        <v>16575.138312466621</v>
      </c>
      <c r="T23" s="215">
        <f t="shared" si="2"/>
        <v>1102.316916291569</v>
      </c>
      <c r="U23" s="215">
        <f t="shared" si="11"/>
        <v>1279.3112705455389</v>
      </c>
      <c r="V23" s="95">
        <v>18736</v>
      </c>
      <c r="W23" s="95">
        <v>23241</v>
      </c>
      <c r="X23" s="99">
        <f t="shared" si="12"/>
        <v>1.0072082268775275</v>
      </c>
      <c r="Y23" s="96">
        <f t="shared" si="3"/>
        <v>0.67207775422633509</v>
      </c>
      <c r="Z23" s="215">
        <f t="shared" si="4"/>
        <v>12592.048803184614</v>
      </c>
      <c r="AA23" s="215">
        <f t="shared" si="19"/>
        <v>12454.693991141601</v>
      </c>
      <c r="AB23" s="406" t="s">
        <v>191</v>
      </c>
      <c r="AC23" s="215">
        <f t="shared" si="13"/>
        <v>13575.762594596323</v>
      </c>
      <c r="AD23" s="215">
        <f t="shared" si="14"/>
        <v>15560.740451872256</v>
      </c>
      <c r="AE23" s="215">
        <f t="shared" si="5"/>
        <v>13575.762594596323</v>
      </c>
      <c r="AF23" s="215">
        <f t="shared" si="6"/>
        <v>15560.740451872256</v>
      </c>
      <c r="AG23" s="215">
        <f t="shared" si="15"/>
        <v>1047.8118351781686</v>
      </c>
      <c r="AH23" s="218">
        <f t="shared" si="16"/>
        <v>1201.0174674163309</v>
      </c>
    </row>
    <row r="24" spans="1:34" x14ac:dyDescent="0.3">
      <c r="A24" s="121" t="s">
        <v>127</v>
      </c>
      <c r="B24" s="100" t="s">
        <v>102</v>
      </c>
      <c r="C24" s="100" t="s">
        <v>103</v>
      </c>
      <c r="D24" s="101">
        <v>0.56000000000000005</v>
      </c>
      <c r="E24" s="100">
        <v>55</v>
      </c>
      <c r="F24" s="102">
        <v>0</v>
      </c>
      <c r="G24" s="103">
        <f t="shared" si="7"/>
        <v>9.7222222222222224E-3</v>
      </c>
      <c r="H24" s="100" t="s">
        <v>137</v>
      </c>
      <c r="I24" s="100" t="s">
        <v>154</v>
      </c>
      <c r="J24" s="100">
        <v>6300</v>
      </c>
      <c r="K24" s="100">
        <v>7200</v>
      </c>
      <c r="L24" s="100" t="s">
        <v>155</v>
      </c>
      <c r="M24" s="100">
        <v>10740</v>
      </c>
      <c r="N24" s="100">
        <v>17290</v>
      </c>
      <c r="O24" s="104">
        <f t="shared" si="8"/>
        <v>1.0159983993246138</v>
      </c>
      <c r="P24" s="207">
        <f t="shared" si="9"/>
        <v>7621.787464953708</v>
      </c>
      <c r="Q24" s="207">
        <f t="shared" si="10"/>
        <v>10304.437396948952</v>
      </c>
      <c r="R24" s="207">
        <f t="shared" si="0"/>
        <v>4268.2009803740766</v>
      </c>
      <c r="S24" s="207">
        <f t="shared" si="1"/>
        <v>5770.4849422914131</v>
      </c>
      <c r="T24" s="207">
        <f t="shared" si="2"/>
        <v>77.603654188619572</v>
      </c>
      <c r="U24" s="207">
        <f t="shared" si="11"/>
        <v>104.91790804166206</v>
      </c>
      <c r="V24" s="100">
        <v>9195</v>
      </c>
      <c r="W24" s="100">
        <v>15250</v>
      </c>
      <c r="X24" s="104">
        <f t="shared" si="12"/>
        <v>1.0170069879328583</v>
      </c>
      <c r="Y24" s="101">
        <f t="shared" si="3"/>
        <v>0.58659217877094971</v>
      </c>
      <c r="Z24" s="207">
        <f t="shared" si="4"/>
        <v>5393.7150837988829</v>
      </c>
      <c r="AA24" s="207">
        <f t="shared" si="19"/>
        <v>5088.5741863239455</v>
      </c>
      <c r="AB24" s="208" t="s">
        <v>191</v>
      </c>
      <c r="AC24" s="207">
        <f t="shared" si="13"/>
        <v>6229.9326911681801</v>
      </c>
      <c r="AD24" s="207">
        <f t="shared" si="14"/>
        <v>8582.9811275823649</v>
      </c>
      <c r="AE24" s="207">
        <f t="shared" si="5"/>
        <v>3488.7623070541813</v>
      </c>
      <c r="AF24" s="207">
        <f t="shared" si="6"/>
        <v>4806.4694314461249</v>
      </c>
      <c r="AG24" s="207">
        <f t="shared" si="15"/>
        <v>63.432041946439654</v>
      </c>
      <c r="AH24" s="209">
        <f t="shared" si="16"/>
        <v>87.390353299020447</v>
      </c>
    </row>
    <row r="25" spans="1:34" x14ac:dyDescent="0.3">
      <c r="A25" s="120"/>
      <c r="B25" s="75" t="s">
        <v>103</v>
      </c>
      <c r="C25" s="75" t="s">
        <v>104</v>
      </c>
      <c r="D25" s="77">
        <v>2.27</v>
      </c>
      <c r="E25" s="75">
        <v>55</v>
      </c>
      <c r="F25" s="78">
        <v>0</v>
      </c>
      <c r="G25" s="79">
        <f t="shared" si="7"/>
        <v>9.7222222222222224E-3</v>
      </c>
      <c r="H25" s="75" t="s">
        <v>137</v>
      </c>
      <c r="I25" s="75" t="s">
        <v>154</v>
      </c>
      <c r="J25" s="75">
        <v>7100</v>
      </c>
      <c r="K25" s="75">
        <v>7000</v>
      </c>
      <c r="L25" s="75" t="s">
        <v>156</v>
      </c>
      <c r="M25" s="75">
        <v>11213</v>
      </c>
      <c r="N25" s="75">
        <v>17598</v>
      </c>
      <c r="O25" s="76">
        <f t="shared" si="8"/>
        <v>1.0151371379604786</v>
      </c>
      <c r="P25" s="210">
        <f t="shared" si="9"/>
        <v>8502.6625867498024</v>
      </c>
      <c r="Q25" s="210">
        <f t="shared" si="10"/>
        <v>11311.613467598505</v>
      </c>
      <c r="R25" s="210">
        <f t="shared" si="0"/>
        <v>19301.044071922053</v>
      </c>
      <c r="S25" s="210">
        <f t="shared" si="1"/>
        <v>25677.362571448608</v>
      </c>
      <c r="T25" s="210">
        <f t="shared" si="2"/>
        <v>350.92807403494641</v>
      </c>
      <c r="U25" s="210">
        <f t="shared" si="11"/>
        <v>466.86113766270194</v>
      </c>
      <c r="V25" s="75">
        <v>9462</v>
      </c>
      <c r="W25" s="75">
        <v>15423</v>
      </c>
      <c r="X25" s="76">
        <f t="shared" si="12"/>
        <v>1.0164192084683861</v>
      </c>
      <c r="Y25" s="77">
        <f t="shared" si="3"/>
        <v>0.63319361455453493</v>
      </c>
      <c r="Z25" s="210">
        <f t="shared" si="4"/>
        <v>5991.2779809150097</v>
      </c>
      <c r="AA25" s="210">
        <f t="shared" si="19"/>
        <v>5617.9776799765996</v>
      </c>
      <c r="AB25" s="211" t="s">
        <v>191</v>
      </c>
      <c r="AC25" s="210">
        <f t="shared" si="13"/>
        <v>6830.5295637896179</v>
      </c>
      <c r="AD25" s="210">
        <f t="shared" si="14"/>
        <v>9307.6230860924534</v>
      </c>
      <c r="AE25" s="210">
        <f t="shared" si="5"/>
        <v>15505.302109802433</v>
      </c>
      <c r="AF25" s="210">
        <f t="shared" si="6"/>
        <v>21128.30440542987</v>
      </c>
      <c r="AG25" s="210">
        <f t="shared" si="15"/>
        <v>281.91458381458966</v>
      </c>
      <c r="AH25" s="212">
        <f t="shared" si="16"/>
        <v>384.150989189634</v>
      </c>
    </row>
    <row r="26" spans="1:34" x14ac:dyDescent="0.3">
      <c r="A26" s="122"/>
      <c r="B26" s="95" t="s">
        <v>104</v>
      </c>
      <c r="C26" s="95" t="s">
        <v>128</v>
      </c>
      <c r="D26" s="96">
        <v>0.89</v>
      </c>
      <c r="E26" s="95">
        <v>45</v>
      </c>
      <c r="F26" s="97">
        <v>0</v>
      </c>
      <c r="G26" s="98">
        <f t="shared" si="7"/>
        <v>9.7222222222222224E-3</v>
      </c>
      <c r="H26" s="95" t="s">
        <v>137</v>
      </c>
      <c r="I26" s="95" t="s">
        <v>154</v>
      </c>
      <c r="J26" s="95">
        <v>5300</v>
      </c>
      <c r="K26" s="95">
        <v>5000</v>
      </c>
      <c r="L26" s="95" t="s">
        <v>157</v>
      </c>
      <c r="M26" s="95">
        <v>6468</v>
      </c>
      <c r="N26" s="95">
        <v>10841</v>
      </c>
      <c r="O26" s="99">
        <f t="shared" si="8"/>
        <v>1.0173646527049469</v>
      </c>
      <c r="P26" s="215">
        <f t="shared" si="9"/>
        <v>6516.2179651746992</v>
      </c>
      <c r="Q26" s="215">
        <f t="shared" si="10"/>
        <v>9037.5736023289865</v>
      </c>
      <c r="R26" s="215">
        <f t="shared" si="0"/>
        <v>5799.4339890054825</v>
      </c>
      <c r="S26" s="215">
        <f t="shared" si="1"/>
        <v>8043.4405060727977</v>
      </c>
      <c r="T26" s="215">
        <f t="shared" si="2"/>
        <v>128.87631086678851</v>
      </c>
      <c r="U26" s="215">
        <f t="shared" si="11"/>
        <v>178.74312235717329</v>
      </c>
      <c r="V26" s="95">
        <v>8577</v>
      </c>
      <c r="W26" s="95">
        <v>14205</v>
      </c>
      <c r="X26" s="99">
        <f t="shared" si="12"/>
        <v>1.0169591954328578</v>
      </c>
      <c r="Y26" s="96">
        <f t="shared" si="3"/>
        <v>0.81941867656153367</v>
      </c>
      <c r="Z26" s="215">
        <f t="shared" si="4"/>
        <v>7028.1539888682746</v>
      </c>
      <c r="AA26" s="215">
        <f t="shared" si="19"/>
        <v>7610.0134568031208</v>
      </c>
      <c r="AB26" s="406" t="s">
        <v>191</v>
      </c>
      <c r="AC26" s="215">
        <f t="shared" si="13"/>
        <v>9311.6738483244608</v>
      </c>
      <c r="AD26" s="215">
        <f t="shared" si="14"/>
        <v>12817.247787099966</v>
      </c>
      <c r="AE26" s="215">
        <f t="shared" si="5"/>
        <v>8287.3897250087703</v>
      </c>
      <c r="AF26" s="215">
        <f t="shared" si="6"/>
        <v>11407.35053051897</v>
      </c>
      <c r="AG26" s="215">
        <f t="shared" si="15"/>
        <v>184.16421611130602</v>
      </c>
      <c r="AH26" s="218">
        <f t="shared" si="16"/>
        <v>253.49667845597713</v>
      </c>
    </row>
    <row r="27" spans="1:34" x14ac:dyDescent="0.3">
      <c r="A27" s="120" t="s">
        <v>132</v>
      </c>
      <c r="B27" s="75" t="s">
        <v>105</v>
      </c>
      <c r="C27" s="75" t="s">
        <v>106</v>
      </c>
      <c r="D27" s="77">
        <v>1.62</v>
      </c>
      <c r="E27" s="75">
        <v>40</v>
      </c>
      <c r="F27" s="78">
        <v>1.5</v>
      </c>
      <c r="G27" s="79">
        <f t="shared" si="7"/>
        <v>9.7222222222222224E-3</v>
      </c>
      <c r="H27" s="75" t="s">
        <v>137</v>
      </c>
      <c r="I27" s="75" t="s">
        <v>150</v>
      </c>
      <c r="J27" s="75">
        <v>23000</v>
      </c>
      <c r="K27" s="75">
        <v>22000</v>
      </c>
      <c r="L27" s="75">
        <v>24161</v>
      </c>
      <c r="M27" s="75">
        <v>17751</v>
      </c>
      <c r="N27" s="75">
        <v>24441</v>
      </c>
      <c r="O27" s="76">
        <f t="shared" si="8"/>
        <v>1.0107177007017512</v>
      </c>
      <c r="P27" s="210">
        <f t="shared" si="9"/>
        <v>26138.839064383712</v>
      </c>
      <c r="Q27" s="210">
        <f t="shared" si="10"/>
        <v>32007.654803987545</v>
      </c>
      <c r="R27" s="210">
        <f t="shared" si="0"/>
        <v>42344.919284301614</v>
      </c>
      <c r="S27" s="210">
        <f t="shared" si="1"/>
        <v>51852.400782459823</v>
      </c>
      <c r="T27" s="210">
        <f t="shared" si="2"/>
        <v>1439.8143851298028</v>
      </c>
      <c r="U27" s="210">
        <f t="shared" si="11"/>
        <v>1763.0883187863139</v>
      </c>
      <c r="V27" s="75">
        <v>17737</v>
      </c>
      <c r="W27" s="75">
        <v>24355</v>
      </c>
      <c r="X27" s="76">
        <f t="shared" si="12"/>
        <v>1.0106255313718757</v>
      </c>
      <c r="Y27" s="77">
        <f t="shared" si="3"/>
        <v>1.2957016506112331</v>
      </c>
      <c r="Z27" s="210">
        <f t="shared" si="4"/>
        <v>22981.860176891441</v>
      </c>
      <c r="AA27" s="210">
        <f t="shared" si="19"/>
        <v>22975.752603208559</v>
      </c>
      <c r="AB27" s="211" t="s">
        <v>191</v>
      </c>
      <c r="AC27" s="210">
        <f t="shared" si="13"/>
        <v>26082.72325265007</v>
      </c>
      <c r="AD27" s="210">
        <f t="shared" si="14"/>
        <v>31883.646082986943</v>
      </c>
      <c r="AE27" s="210">
        <f t="shared" si="5"/>
        <v>42254.011669293119</v>
      </c>
      <c r="AF27" s="210">
        <f t="shared" si="6"/>
        <v>51651.506654438854</v>
      </c>
      <c r="AG27" s="210">
        <f t="shared" si="15"/>
        <v>1436.723339166808</v>
      </c>
      <c r="AH27" s="212">
        <f t="shared" si="16"/>
        <v>1756.2575050711973</v>
      </c>
    </row>
    <row r="28" spans="1:34" x14ac:dyDescent="0.3">
      <c r="A28" s="120"/>
      <c r="B28" s="75" t="s">
        <v>106</v>
      </c>
      <c r="C28" s="75" t="s">
        <v>125</v>
      </c>
      <c r="D28" s="77">
        <v>0.26</v>
      </c>
      <c r="E28" s="75">
        <v>35</v>
      </c>
      <c r="F28" s="78">
        <v>1</v>
      </c>
      <c r="G28" s="79">
        <f t="shared" si="7"/>
        <v>9.7222222222222224E-3</v>
      </c>
      <c r="H28" s="75" t="s">
        <v>137</v>
      </c>
      <c r="I28" s="75" t="s">
        <v>150</v>
      </c>
      <c r="J28" s="75">
        <v>21000</v>
      </c>
      <c r="K28" s="75">
        <v>19000</v>
      </c>
      <c r="L28" s="75">
        <v>24206</v>
      </c>
      <c r="M28" s="75">
        <v>17035</v>
      </c>
      <c r="N28" s="75">
        <v>24729</v>
      </c>
      <c r="O28" s="76">
        <f t="shared" si="8"/>
        <v>1.0125010460119128</v>
      </c>
      <c r="P28" s="210">
        <f t="shared" si="9"/>
        <v>24376.147065593344</v>
      </c>
      <c r="Q28" s="210">
        <f t="shared" si="10"/>
        <v>30865.917564038788</v>
      </c>
      <c r="R28" s="210">
        <f t="shared" si="0"/>
        <v>6337.7982370542695</v>
      </c>
      <c r="S28" s="210">
        <f t="shared" si="1"/>
        <v>8025.1385666500846</v>
      </c>
      <c r="T28" s="210">
        <f t="shared" si="2"/>
        <v>418.07026832339068</v>
      </c>
      <c r="U28" s="210">
        <f t="shared" si="11"/>
        <v>529.37498298323669</v>
      </c>
      <c r="V28" s="75">
        <v>17074</v>
      </c>
      <c r="W28" s="75">
        <v>24685</v>
      </c>
      <c r="X28" s="76">
        <f t="shared" si="12"/>
        <v>1.0123637716596983</v>
      </c>
      <c r="Y28" s="77">
        <f t="shared" si="3"/>
        <v>1.2327560904021133</v>
      </c>
      <c r="Z28" s="210">
        <f t="shared" si="4"/>
        <v>21048.077487525683</v>
      </c>
      <c r="AA28" s="210">
        <f t="shared" si="19"/>
        <v>21064.264899927315</v>
      </c>
      <c r="AB28" s="211" t="s">
        <v>191</v>
      </c>
      <c r="AC28" s="210">
        <f t="shared" si="13"/>
        <v>24410.993187792054</v>
      </c>
      <c r="AD28" s="210">
        <f t="shared" si="14"/>
        <v>30830.513438849521</v>
      </c>
      <c r="AE28" s="210">
        <f t="shared" si="5"/>
        <v>6346.858228825934</v>
      </c>
      <c r="AF28" s="210">
        <f t="shared" si="6"/>
        <v>8015.9334941008756</v>
      </c>
      <c r="AG28" s="210">
        <f t="shared" si="15"/>
        <v>418.66790697475108</v>
      </c>
      <c r="AH28" s="212">
        <f t="shared" si="16"/>
        <v>528.76777413772879</v>
      </c>
    </row>
    <row r="29" spans="1:34" x14ac:dyDescent="0.3">
      <c r="A29" s="120"/>
      <c r="B29" s="75" t="s">
        <v>107</v>
      </c>
      <c r="C29" s="75" t="s">
        <v>108</v>
      </c>
      <c r="D29" s="77">
        <v>0.13</v>
      </c>
      <c r="E29" s="75">
        <v>30</v>
      </c>
      <c r="F29" s="78">
        <v>1</v>
      </c>
      <c r="G29" s="79">
        <f t="shared" si="7"/>
        <v>9.7222222222222224E-3</v>
      </c>
      <c r="H29" s="75" t="s">
        <v>137</v>
      </c>
      <c r="I29" s="75" t="s">
        <v>150</v>
      </c>
      <c r="J29" s="75">
        <v>28000</v>
      </c>
      <c r="K29" s="75">
        <v>27000</v>
      </c>
      <c r="L29" s="75">
        <v>24217</v>
      </c>
      <c r="M29" s="75">
        <v>27115</v>
      </c>
      <c r="N29" s="75">
        <v>38177</v>
      </c>
      <c r="O29" s="76">
        <f t="shared" si="8"/>
        <v>1.011470155491409</v>
      </c>
      <c r="P29" s="210">
        <f t="shared" si="9"/>
        <v>32106.643587814073</v>
      </c>
      <c r="Q29" s="210">
        <f t="shared" si="10"/>
        <v>39875.238485468297</v>
      </c>
      <c r="R29" s="210">
        <f t="shared" si="0"/>
        <v>4173.8636664158294</v>
      </c>
      <c r="S29" s="210">
        <f t="shared" si="1"/>
        <v>5183.7810031108784</v>
      </c>
      <c r="T29" s="210">
        <f t="shared" si="2"/>
        <v>451.27671265094227</v>
      </c>
      <c r="U29" s="210">
        <f t="shared" si="11"/>
        <v>560.46862982352661</v>
      </c>
      <c r="V29" s="75">
        <v>27204</v>
      </c>
      <c r="W29" s="75">
        <v>38395</v>
      </c>
      <c r="X29" s="76">
        <f t="shared" si="12"/>
        <v>1.0115516516342435</v>
      </c>
      <c r="Y29" s="77">
        <f t="shared" si="3"/>
        <v>1.032638760833487</v>
      </c>
      <c r="Z29" s="210">
        <f t="shared" si="4"/>
        <v>28091.904849714181</v>
      </c>
      <c r="AA29" s="210">
        <f t="shared" si="19"/>
        <v>28122.84868186096</v>
      </c>
      <c r="AB29" s="211" t="s">
        <v>191</v>
      </c>
      <c r="AC29" s="210">
        <f t="shared" si="13"/>
        <v>32278.702740424542</v>
      </c>
      <c r="AD29" s="210">
        <f t="shared" si="14"/>
        <v>40150.344812866322</v>
      </c>
      <c r="AE29" s="210">
        <f t="shared" si="5"/>
        <v>4196.2313562551908</v>
      </c>
      <c r="AF29" s="210">
        <f t="shared" si="6"/>
        <v>5219.5448256726222</v>
      </c>
      <c r="AG29" s="210">
        <f t="shared" si="15"/>
        <v>453.6950996293005</v>
      </c>
      <c r="AH29" s="212">
        <f t="shared" si="16"/>
        <v>564.33540209195439</v>
      </c>
    </row>
    <row r="30" spans="1:34" x14ac:dyDescent="0.3">
      <c r="A30" s="120"/>
      <c r="B30" s="75" t="s">
        <v>108</v>
      </c>
      <c r="C30" s="75" t="s">
        <v>109</v>
      </c>
      <c r="D30" s="77">
        <v>0.38</v>
      </c>
      <c r="E30" s="75">
        <v>30</v>
      </c>
      <c r="F30" s="78">
        <v>1</v>
      </c>
      <c r="G30" s="79">
        <f t="shared" si="7"/>
        <v>9.7222222222222224E-3</v>
      </c>
      <c r="H30" s="75" t="s">
        <v>137</v>
      </c>
      <c r="I30" s="75" t="s">
        <v>150</v>
      </c>
      <c r="J30" s="75">
        <v>27000</v>
      </c>
      <c r="K30" s="75">
        <v>25000</v>
      </c>
      <c r="L30" s="75">
        <v>24222</v>
      </c>
      <c r="M30" s="75">
        <v>27115</v>
      </c>
      <c r="N30" s="75">
        <v>38177</v>
      </c>
      <c r="O30" s="76">
        <f t="shared" si="8"/>
        <v>1.011470155491409</v>
      </c>
      <c r="P30" s="210">
        <f t="shared" si="9"/>
        <v>30959.977745392142</v>
      </c>
      <c r="Q30" s="210">
        <f t="shared" si="10"/>
        <v>38451.122825273</v>
      </c>
      <c r="R30" s="210">
        <f t="shared" si="0"/>
        <v>11764.791543249014</v>
      </c>
      <c r="S30" s="210">
        <f t="shared" si="1"/>
        <v>14611.426673603741</v>
      </c>
      <c r="T30" s="210">
        <f t="shared" si="2"/>
        <v>693.15950174405737</v>
      </c>
      <c r="U30" s="210">
        <f t="shared" si="11"/>
        <v>860.87791658805656</v>
      </c>
      <c r="V30" s="75">
        <v>27204</v>
      </c>
      <c r="W30" s="75">
        <v>38395</v>
      </c>
      <c r="X30" s="76">
        <f t="shared" si="12"/>
        <v>1.0115516516342435</v>
      </c>
      <c r="Y30" s="77">
        <f t="shared" si="3"/>
        <v>0.99575880508943393</v>
      </c>
      <c r="Z30" s="210">
        <f t="shared" si="4"/>
        <v>27088.622533652961</v>
      </c>
      <c r="AA30" s="210">
        <f t="shared" si="19"/>
        <v>27118.461228937354</v>
      </c>
      <c r="AB30" s="211" t="s">
        <v>191</v>
      </c>
      <c r="AC30" s="210">
        <f t="shared" si="13"/>
        <v>31125.891928266523</v>
      </c>
      <c r="AD30" s="210">
        <f t="shared" si="14"/>
        <v>38716.403926692532</v>
      </c>
      <c r="AE30" s="210">
        <f t="shared" si="5"/>
        <v>11827.838932741279</v>
      </c>
      <c r="AF30" s="210">
        <f t="shared" si="6"/>
        <v>14712.233492143163</v>
      </c>
      <c r="AG30" s="210">
        <f t="shared" si="15"/>
        <v>696.87413594952272</v>
      </c>
      <c r="AH30" s="212">
        <f t="shared" si="16"/>
        <v>866.81726569206057</v>
      </c>
    </row>
    <row r="31" spans="1:34" x14ac:dyDescent="0.3">
      <c r="A31" s="120"/>
      <c r="B31" s="75" t="s">
        <v>109</v>
      </c>
      <c r="C31" s="75" t="s">
        <v>110</v>
      </c>
      <c r="D31" s="77">
        <v>0.27</v>
      </c>
      <c r="E31" s="75">
        <v>30</v>
      </c>
      <c r="F31" s="78">
        <v>0.5</v>
      </c>
      <c r="G31" s="79">
        <f t="shared" si="7"/>
        <v>9.7222222222222224E-3</v>
      </c>
      <c r="H31" s="75" t="s">
        <v>137</v>
      </c>
      <c r="I31" s="75" t="s">
        <v>150</v>
      </c>
      <c r="J31" s="75">
        <v>24000</v>
      </c>
      <c r="K31" s="75">
        <v>24000</v>
      </c>
      <c r="L31" s="75">
        <v>24292</v>
      </c>
      <c r="M31" s="75">
        <v>27921</v>
      </c>
      <c r="N31" s="75">
        <v>37622</v>
      </c>
      <c r="O31" s="76">
        <f t="shared" si="8"/>
        <v>1.0099898989127161</v>
      </c>
      <c r="P31" s="210">
        <f t="shared" si="9"/>
        <v>27040.555296244172</v>
      </c>
      <c r="Q31" s="210">
        <f t="shared" si="10"/>
        <v>32661.729860874017</v>
      </c>
      <c r="R31" s="210">
        <f t="shared" si="0"/>
        <v>7300.9499299859272</v>
      </c>
      <c r="S31" s="210">
        <f t="shared" si="1"/>
        <v>8818.6670624359849</v>
      </c>
      <c r="T31" s="210">
        <f t="shared" si="2"/>
        <v>374.81214146738455</v>
      </c>
      <c r="U31" s="210">
        <f t="shared" si="11"/>
        <v>452.72786668267042</v>
      </c>
      <c r="V31" s="75">
        <v>27974</v>
      </c>
      <c r="W31" s="75">
        <v>37727</v>
      </c>
      <c r="X31" s="76">
        <f t="shared" si="12"/>
        <v>1.0100198832421707</v>
      </c>
      <c r="Y31" s="77">
        <f t="shared" si="3"/>
        <v>0.85956806704630928</v>
      </c>
      <c r="Z31" s="210">
        <f t="shared" si="4"/>
        <v>24045.557107553457</v>
      </c>
      <c r="AA31" s="210">
        <f t="shared" si="19"/>
        <v>24060.895922573676</v>
      </c>
      <c r="AB31" s="211" t="s">
        <v>191</v>
      </c>
      <c r="AC31" s="210">
        <f t="shared" si="13"/>
        <v>27118.825410753256</v>
      </c>
      <c r="AD31" s="210">
        <f t="shared" si="14"/>
        <v>32774.752398572607</v>
      </c>
      <c r="AE31" s="210">
        <f t="shared" si="5"/>
        <v>7322.0828609033797</v>
      </c>
      <c r="AF31" s="210">
        <f t="shared" si="6"/>
        <v>8849.1831476146053</v>
      </c>
      <c r="AG31" s="210">
        <f t="shared" si="15"/>
        <v>375.89705222127435</v>
      </c>
      <c r="AH31" s="212">
        <f t="shared" si="16"/>
        <v>454.29448463577035</v>
      </c>
    </row>
    <row r="32" spans="1:34" x14ac:dyDescent="0.3">
      <c r="A32" s="120"/>
      <c r="B32" s="75" t="s">
        <v>110</v>
      </c>
      <c r="C32" s="75" t="s">
        <v>129</v>
      </c>
      <c r="D32" s="77">
        <v>0.17</v>
      </c>
      <c r="E32" s="75">
        <v>30</v>
      </c>
      <c r="F32" s="78">
        <v>0.5</v>
      </c>
      <c r="G32" s="79">
        <f t="shared" si="7"/>
        <v>9.7222222222222224E-3</v>
      </c>
      <c r="H32" s="75" t="s">
        <v>137</v>
      </c>
      <c r="I32" s="75" t="s">
        <v>150</v>
      </c>
      <c r="J32" s="75">
        <v>23000</v>
      </c>
      <c r="K32" s="75">
        <v>22000</v>
      </c>
      <c r="L32" s="75">
        <v>24318</v>
      </c>
      <c r="M32" s="75">
        <v>27921</v>
      </c>
      <c r="N32" s="75">
        <v>37622</v>
      </c>
      <c r="O32" s="76">
        <f t="shared" si="8"/>
        <v>1.0099898989127161</v>
      </c>
      <c r="P32" s="210">
        <f t="shared" si="9"/>
        <v>25913.865492233999</v>
      </c>
      <c r="Q32" s="210">
        <f t="shared" si="10"/>
        <v>31300.824450004267</v>
      </c>
      <c r="R32" s="210">
        <f t="shared" si="0"/>
        <v>4405.3571336797804</v>
      </c>
      <c r="S32" s="210">
        <f t="shared" si="1"/>
        <v>5321.1401565007254</v>
      </c>
      <c r="T32" s="210">
        <f t="shared" si="2"/>
        <v>272.81541726546351</v>
      </c>
      <c r="U32" s="210">
        <f t="shared" si="11"/>
        <v>329.52812407087828</v>
      </c>
      <c r="V32" s="75">
        <v>27974</v>
      </c>
      <c r="W32" s="75">
        <v>37727</v>
      </c>
      <c r="X32" s="76">
        <f t="shared" si="12"/>
        <v>1.0100198832421707</v>
      </c>
      <c r="Y32" s="77">
        <f t="shared" si="3"/>
        <v>0.82375273091937973</v>
      </c>
      <c r="Z32" s="210">
        <f t="shared" si="4"/>
        <v>23043.658894738728</v>
      </c>
      <c r="AA32" s="210">
        <f t="shared" si="19"/>
        <v>23058.358592466437</v>
      </c>
      <c r="AB32" s="211" t="s">
        <v>191</v>
      </c>
      <c r="AC32" s="210">
        <f t="shared" si="13"/>
        <v>25988.874351971866</v>
      </c>
      <c r="AD32" s="210">
        <f t="shared" si="14"/>
        <v>31409.137715298744</v>
      </c>
      <c r="AE32" s="210">
        <f t="shared" si="5"/>
        <v>4418.1086398352172</v>
      </c>
      <c r="AF32" s="210">
        <f t="shared" si="6"/>
        <v>5339.5534116007866</v>
      </c>
      <c r="AG32" s="210">
        <f t="shared" si="15"/>
        <v>273.60509387214825</v>
      </c>
      <c r="AH32" s="212">
        <f t="shared" si="16"/>
        <v>330.66842205828402</v>
      </c>
    </row>
    <row r="33" spans="1:34" x14ac:dyDescent="0.3">
      <c r="A33" s="121" t="s">
        <v>93</v>
      </c>
      <c r="B33" s="206" t="s">
        <v>174</v>
      </c>
      <c r="C33" s="206"/>
      <c r="D33" s="101">
        <v>0.63</v>
      </c>
      <c r="E33" s="100">
        <v>30</v>
      </c>
      <c r="F33" s="102">
        <v>0</v>
      </c>
      <c r="G33" s="103">
        <f t="shared" si="7"/>
        <v>9.7222222222222224E-3</v>
      </c>
      <c r="H33" s="100" t="s">
        <v>137</v>
      </c>
      <c r="I33" s="100" t="s">
        <v>153</v>
      </c>
      <c r="J33" s="100">
        <v>22000</v>
      </c>
      <c r="K33" s="100">
        <v>21000</v>
      </c>
      <c r="L33" s="100" t="s">
        <v>158</v>
      </c>
      <c r="M33" s="100">
        <v>28356</v>
      </c>
      <c r="N33" s="100">
        <v>39585</v>
      </c>
      <c r="O33" s="104">
        <f t="shared" si="8"/>
        <v>1.011182448360129</v>
      </c>
      <c r="P33" s="207">
        <f t="shared" si="9"/>
        <v>25140.676135526523</v>
      </c>
      <c r="Q33" s="207">
        <f t="shared" si="10"/>
        <v>31055.454182655754</v>
      </c>
      <c r="R33" s="207">
        <f t="shared" si="0"/>
        <v>15838.625965381709</v>
      </c>
      <c r="S33" s="207">
        <f t="shared" si="1"/>
        <v>19564.936135073127</v>
      </c>
      <c r="T33" s="207">
        <f t="shared" si="2"/>
        <v>527.95419884605701</v>
      </c>
      <c r="U33" s="207">
        <f>((D33/E33)+(F33*G33))*Q33</f>
        <v>652.16453783577083</v>
      </c>
      <c r="V33" s="100">
        <v>28437</v>
      </c>
      <c r="W33" s="100">
        <v>39816</v>
      </c>
      <c r="X33" s="104">
        <f t="shared" si="12"/>
        <v>1.0112824294771223</v>
      </c>
      <c r="Y33" s="101">
        <f t="shared" si="3"/>
        <v>0.7758499083086472</v>
      </c>
      <c r="Z33" s="207">
        <f t="shared" si="4"/>
        <v>22062.843842573002</v>
      </c>
      <c r="AA33" s="207">
        <f t="shared" si="19"/>
        <v>22084.003001443129</v>
      </c>
      <c r="AB33" s="208" t="s">
        <v>191</v>
      </c>
      <c r="AC33" s="207">
        <f t="shared" si="13"/>
        <v>25266.630972946154</v>
      </c>
      <c r="AD33" s="207">
        <f t="shared" si="14"/>
        <v>31269.72838558667</v>
      </c>
      <c r="AE33" s="207">
        <f t="shared" si="5"/>
        <v>15917.977512956077</v>
      </c>
      <c r="AF33" s="207">
        <f t="shared" si="6"/>
        <v>19699.928882919601</v>
      </c>
      <c r="AG33" s="207">
        <f t="shared" si="15"/>
        <v>530.59925043186922</v>
      </c>
      <c r="AH33" s="209">
        <f t="shared" si="16"/>
        <v>656.66429609732006</v>
      </c>
    </row>
    <row r="34" spans="1:34" x14ac:dyDescent="0.3">
      <c r="A34" s="120"/>
      <c r="B34" s="75" t="s">
        <v>111</v>
      </c>
      <c r="C34" s="75" t="s">
        <v>112</v>
      </c>
      <c r="D34" s="77">
        <v>0.51</v>
      </c>
      <c r="E34" s="75">
        <v>35</v>
      </c>
      <c r="F34" s="78">
        <v>1.5</v>
      </c>
      <c r="G34" s="79">
        <f t="shared" si="7"/>
        <v>9.7222222222222224E-3</v>
      </c>
      <c r="H34" s="75" t="s">
        <v>137</v>
      </c>
      <c r="I34" s="75" t="s">
        <v>153</v>
      </c>
      <c r="J34" s="75">
        <v>14000</v>
      </c>
      <c r="K34" s="75">
        <v>14000</v>
      </c>
      <c r="L34" s="75" t="s">
        <v>159</v>
      </c>
      <c r="M34" s="75">
        <v>26245</v>
      </c>
      <c r="N34" s="75">
        <v>36905</v>
      </c>
      <c r="O34" s="76">
        <f t="shared" si="8"/>
        <v>1.0114271820303771</v>
      </c>
      <c r="P34" s="210">
        <f t="shared" si="9"/>
        <v>16045.13918232303</v>
      </c>
      <c r="Q34" s="210">
        <f t="shared" si="10"/>
        <v>19911.376724695594</v>
      </c>
      <c r="R34" s="210">
        <f t="shared" si="0"/>
        <v>8183.0209829847454</v>
      </c>
      <c r="S34" s="210">
        <f t="shared" si="1"/>
        <v>10154.802129594753</v>
      </c>
      <c r="T34" s="210">
        <f t="shared" si="2"/>
        <v>467.79221258939407</v>
      </c>
      <c r="U34" s="210">
        <f t="shared" si="11"/>
        <v>580.51144760451803</v>
      </c>
      <c r="V34" s="75">
        <v>26339</v>
      </c>
      <c r="W34" s="75">
        <v>37171</v>
      </c>
      <c r="X34" s="76">
        <f t="shared" si="12"/>
        <v>1.0115487833961645</v>
      </c>
      <c r="Y34" s="77">
        <f t="shared" si="3"/>
        <v>0.53343493998856928</v>
      </c>
      <c r="Z34" s="210">
        <f t="shared" si="4"/>
        <v>14050.142884358926</v>
      </c>
      <c r="AA34" s="210">
        <f t="shared" si="19"/>
        <v>14067.025703946612</v>
      </c>
      <c r="AB34" s="211" t="s">
        <v>191</v>
      </c>
      <c r="AC34" s="210">
        <f t="shared" si="13"/>
        <v>16145.231110093107</v>
      </c>
      <c r="AD34" s="210">
        <f t="shared" si="14"/>
        <v>20081.404108382951</v>
      </c>
      <c r="AE34" s="210">
        <f t="shared" si="5"/>
        <v>8234.0678661474849</v>
      </c>
      <c r="AF34" s="210">
        <f t="shared" si="6"/>
        <v>10241.516095275305</v>
      </c>
      <c r="AG34" s="210">
        <f t="shared" si="15"/>
        <v>470.71036891211929</v>
      </c>
      <c r="AH34" s="212">
        <f t="shared" si="16"/>
        <v>585.46855549321242</v>
      </c>
    </row>
    <row r="35" spans="1:34" x14ac:dyDescent="0.3">
      <c r="A35" s="120"/>
      <c r="B35" s="75" t="s">
        <v>112</v>
      </c>
      <c r="C35" s="75" t="s">
        <v>113</v>
      </c>
      <c r="D35" s="77">
        <v>0.22</v>
      </c>
      <c r="E35" s="75">
        <v>35</v>
      </c>
      <c r="F35" s="78">
        <v>1</v>
      </c>
      <c r="G35" s="79">
        <f t="shared" si="7"/>
        <v>9.7222222222222224E-3</v>
      </c>
      <c r="H35" s="75" t="s">
        <v>137</v>
      </c>
      <c r="I35" s="75" t="s">
        <v>153</v>
      </c>
      <c r="J35" s="75">
        <v>22000</v>
      </c>
      <c r="K35" s="75">
        <v>21000</v>
      </c>
      <c r="L35" s="75" t="s">
        <v>160</v>
      </c>
      <c r="M35" s="75">
        <v>26219</v>
      </c>
      <c r="N35" s="75">
        <v>36689</v>
      </c>
      <c r="O35" s="76">
        <f t="shared" si="8"/>
        <v>1.0112627068443909</v>
      </c>
      <c r="P35" s="210">
        <f t="shared" si="9"/>
        <v>25164.631855400821</v>
      </c>
      <c r="Q35" s="210">
        <f t="shared" si="10"/>
        <v>31131.957127697682</v>
      </c>
      <c r="R35" s="210">
        <f t="shared" si="0"/>
        <v>5536.2190081881809</v>
      </c>
      <c r="S35" s="210">
        <f t="shared" si="1"/>
        <v>6849.0305680934898</v>
      </c>
      <c r="T35" s="210">
        <f t="shared" si="2"/>
        <v>402.83382898685284</v>
      </c>
      <c r="U35" s="210">
        <f t="shared" si="11"/>
        <v>498.35839306798596</v>
      </c>
      <c r="V35" s="75">
        <v>27680</v>
      </c>
      <c r="W35" s="75">
        <v>38853</v>
      </c>
      <c r="X35" s="76">
        <f t="shared" si="12"/>
        <v>1.0113666200776006</v>
      </c>
      <c r="Y35" s="77">
        <f t="shared" si="3"/>
        <v>0.83908615889240623</v>
      </c>
      <c r="Z35" s="210">
        <f t="shared" si="4"/>
        <v>23225.904878141806</v>
      </c>
      <c r="AA35" s="213">
        <f>Z35-250+(Z35-J35)/($AA$55-1000)*1000</f>
        <v>23388.65997099175</v>
      </c>
      <c r="AB35" s="214" t="s">
        <v>192</v>
      </c>
      <c r="AC35" s="210">
        <f t="shared" si="13"/>
        <v>26786.053319565315</v>
      </c>
      <c r="AD35" s="210">
        <f t="shared" si="14"/>
        <v>33202.625591392454</v>
      </c>
      <c r="AE35" s="210">
        <f t="shared" si="5"/>
        <v>5892.931730304369</v>
      </c>
      <c r="AF35" s="210">
        <f t="shared" si="6"/>
        <v>7304.5776301063397</v>
      </c>
      <c r="AG35" s="210">
        <f t="shared" si="15"/>
        <v>428.78944083780351</v>
      </c>
      <c r="AH35" s="212">
        <f t="shared" si="16"/>
        <v>531.50552236379826</v>
      </c>
    </row>
    <row r="36" spans="1:34" x14ac:dyDescent="0.3">
      <c r="A36" s="120"/>
      <c r="B36" s="75" t="s">
        <v>113</v>
      </c>
      <c r="C36" s="75" t="s">
        <v>114</v>
      </c>
      <c r="D36" s="77">
        <v>0.06</v>
      </c>
      <c r="E36" s="75">
        <v>35</v>
      </c>
      <c r="F36" s="78">
        <v>0.5</v>
      </c>
      <c r="G36" s="79">
        <f t="shared" si="7"/>
        <v>9.7222222222222224E-3</v>
      </c>
      <c r="H36" s="75" t="s">
        <v>137</v>
      </c>
      <c r="I36" s="75" t="s">
        <v>153</v>
      </c>
      <c r="J36" s="75">
        <v>22000</v>
      </c>
      <c r="K36" s="75">
        <v>21000</v>
      </c>
      <c r="L36" s="75" t="s">
        <v>161</v>
      </c>
      <c r="M36" s="75">
        <v>23734</v>
      </c>
      <c r="N36" s="75">
        <v>34809</v>
      </c>
      <c r="O36" s="76">
        <f t="shared" si="8"/>
        <v>1.0128474063125787</v>
      </c>
      <c r="P36" s="210">
        <f t="shared" si="9"/>
        <v>25641.942642603513</v>
      </c>
      <c r="Q36" s="210">
        <f t="shared" si="10"/>
        <v>32680.395974524345</v>
      </c>
      <c r="R36" s="210">
        <f t="shared" si="0"/>
        <v>1538.5165585562108</v>
      </c>
      <c r="S36" s="210">
        <f t="shared" si="1"/>
        <v>1960.8237584714607</v>
      </c>
      <c r="T36" s="210">
        <f t="shared" si="2"/>
        <v>168.60594824918263</v>
      </c>
      <c r="U36" s="210">
        <f t="shared" si="11"/>
        <v>214.88657194359857</v>
      </c>
      <c r="V36" s="75">
        <v>25479</v>
      </c>
      <c r="W36" s="75">
        <v>36889</v>
      </c>
      <c r="X36" s="76">
        <f t="shared" si="12"/>
        <v>1.0124116875334188</v>
      </c>
      <c r="Y36" s="77">
        <f t="shared" si="3"/>
        <v>0.92694025448723349</v>
      </c>
      <c r="Z36" s="210">
        <f t="shared" si="4"/>
        <v>23617.510744080224</v>
      </c>
      <c r="AA36" s="213">
        <f>Z36-250+(Z36-J36)/($AA$55-1000)*1000</f>
        <v>23912.117270461455</v>
      </c>
      <c r="AB36" s="214" t="s">
        <v>192</v>
      </c>
      <c r="AC36" s="210">
        <f t="shared" si="13"/>
        <v>27727.060710805636</v>
      </c>
      <c r="AD36" s="210">
        <f t="shared" si="14"/>
        <v>35050.134238381936</v>
      </c>
      <c r="AE36" s="210">
        <f t="shared" si="5"/>
        <v>1663.6236426483381</v>
      </c>
      <c r="AF36" s="210">
        <f t="shared" si="6"/>
        <v>2103.0080543029162</v>
      </c>
      <c r="AG36" s="210">
        <f t="shared" si="15"/>
        <v>182.31642697541642</v>
      </c>
      <c r="AH36" s="212">
        <f t="shared" si="16"/>
        <v>230.46854140078915</v>
      </c>
    </row>
    <row r="37" spans="1:34" x14ac:dyDescent="0.3">
      <c r="A37" s="120"/>
      <c r="B37" s="75" t="s">
        <v>114</v>
      </c>
      <c r="C37" s="75" t="s">
        <v>115</v>
      </c>
      <c r="D37" s="77">
        <v>0.19</v>
      </c>
      <c r="E37" s="75">
        <v>35</v>
      </c>
      <c r="F37" s="78">
        <v>0.5</v>
      </c>
      <c r="G37" s="79">
        <f t="shared" si="7"/>
        <v>9.7222222222222224E-3</v>
      </c>
      <c r="H37" s="75" t="s">
        <v>137</v>
      </c>
      <c r="I37" s="75" t="s">
        <v>153</v>
      </c>
      <c r="J37" s="75">
        <v>22000</v>
      </c>
      <c r="K37" s="75">
        <v>21000</v>
      </c>
      <c r="L37" s="75" t="s">
        <v>162</v>
      </c>
      <c r="M37" s="75">
        <v>23796</v>
      </c>
      <c r="N37" s="75">
        <v>34809</v>
      </c>
      <c r="O37" s="76">
        <f t="shared" si="8"/>
        <v>1.0127593302281281</v>
      </c>
      <c r="P37" s="210">
        <f t="shared" si="9"/>
        <v>25615.197898419749</v>
      </c>
      <c r="Q37" s="210">
        <f t="shared" si="10"/>
        <v>32592.413412760146</v>
      </c>
      <c r="R37" s="210">
        <f t="shared" si="0"/>
        <v>4866.8876006997525</v>
      </c>
      <c r="S37" s="210">
        <f t="shared" si="1"/>
        <v>6192.5585484244275</v>
      </c>
      <c r="T37" s="210">
        <f t="shared" si="2"/>
        <v>263.57225456588259</v>
      </c>
      <c r="U37" s="210">
        <f t="shared" si="11"/>
        <v>335.36558721939309</v>
      </c>
      <c r="V37" s="75">
        <v>25794</v>
      </c>
      <c r="W37" s="75">
        <v>36721</v>
      </c>
      <c r="X37" s="76">
        <f t="shared" si="12"/>
        <v>1.0118431442567828</v>
      </c>
      <c r="Y37" s="77">
        <f t="shared" si="3"/>
        <v>0.92452513027399563</v>
      </c>
      <c r="Z37" s="210">
        <f t="shared" si="4"/>
        <v>23847.201210287443</v>
      </c>
      <c r="AA37" s="213">
        <f>Z37-250+(Z37-J37)/($AA$55-1000)*1000</f>
        <v>24219.143190174505</v>
      </c>
      <c r="AB37" s="214" t="s">
        <v>192</v>
      </c>
      <c r="AC37" s="210">
        <f t="shared" si="13"/>
        <v>27894.404637102823</v>
      </c>
      <c r="AD37" s="210">
        <f t="shared" si="14"/>
        <v>34887.333144712415</v>
      </c>
      <c r="AE37" s="210">
        <f t="shared" si="5"/>
        <v>5299.9368810495362</v>
      </c>
      <c r="AF37" s="210">
        <f t="shared" si="6"/>
        <v>6628.5932974953585</v>
      </c>
      <c r="AG37" s="210">
        <f t="shared" si="15"/>
        <v>287.02456834923657</v>
      </c>
      <c r="AH37" s="212">
        <f t="shared" si="16"/>
        <v>358.97958271523527</v>
      </c>
    </row>
    <row r="38" spans="1:34" x14ac:dyDescent="0.3">
      <c r="A38" s="120"/>
      <c r="B38" s="75" t="s">
        <v>115</v>
      </c>
      <c r="C38" s="75" t="s">
        <v>130</v>
      </c>
      <c r="D38" s="77">
        <v>0.63</v>
      </c>
      <c r="E38" s="75">
        <v>35</v>
      </c>
      <c r="F38" s="78">
        <v>1</v>
      </c>
      <c r="G38" s="79">
        <f t="shared" si="7"/>
        <v>9.7222222222222224E-3</v>
      </c>
      <c r="H38" s="75" t="s">
        <v>137</v>
      </c>
      <c r="I38" s="75" t="s">
        <v>153</v>
      </c>
      <c r="J38" s="75">
        <v>17000</v>
      </c>
      <c r="K38" s="75">
        <v>15000</v>
      </c>
      <c r="L38" s="75" t="s">
        <v>163</v>
      </c>
      <c r="M38" s="75">
        <v>13630</v>
      </c>
      <c r="N38" s="75">
        <v>18938</v>
      </c>
      <c r="O38" s="76">
        <f t="shared" si="8"/>
        <v>1.011023557878749</v>
      </c>
      <c r="P38" s="210">
        <f t="shared" si="9"/>
        <v>19390.286406818155</v>
      </c>
      <c r="Q38" s="210">
        <f t="shared" si="10"/>
        <v>23880.776989349353</v>
      </c>
      <c r="R38" s="210">
        <f t="shared" si="0"/>
        <v>12215.880436295438</v>
      </c>
      <c r="S38" s="210">
        <f t="shared" si="1"/>
        <v>15044.889503290093</v>
      </c>
      <c r="T38" s="210">
        <f t="shared" si="2"/>
        <v>537.54182872234776</v>
      </c>
      <c r="U38" s="210">
        <f t="shared" si="11"/>
        <v>662.02820653807373</v>
      </c>
      <c r="V38" s="75">
        <v>8535</v>
      </c>
      <c r="W38" s="75">
        <v>12858</v>
      </c>
      <c r="X38" s="76">
        <f t="shared" si="12"/>
        <v>1.0137534141822222</v>
      </c>
      <c r="Y38" s="77">
        <f t="shared" si="3"/>
        <v>1.2472487160674981</v>
      </c>
      <c r="Z38" s="210">
        <f t="shared" si="4"/>
        <v>10645.267791636097</v>
      </c>
      <c r="AA38" s="213">
        <f>Z38+750</f>
        <v>11395.267791636097</v>
      </c>
      <c r="AB38" s="214" t="s">
        <v>193</v>
      </c>
      <c r="AC38" s="210">
        <f t="shared" si="13"/>
        <v>13424.944348356355</v>
      </c>
      <c r="AD38" s="210">
        <f t="shared" si="14"/>
        <v>17403.105842933102</v>
      </c>
      <c r="AE38" s="210">
        <f t="shared" si="5"/>
        <v>8457.7149394645039</v>
      </c>
      <c r="AF38" s="210">
        <f t="shared" si="6"/>
        <v>10963.956681047855</v>
      </c>
      <c r="AG38" s="210">
        <f t="shared" si="15"/>
        <v>372.16929054610119</v>
      </c>
      <c r="AH38" s="212">
        <f t="shared" si="16"/>
        <v>482.45276753464543</v>
      </c>
    </row>
    <row r="39" spans="1:34" x14ac:dyDescent="0.3">
      <c r="A39" s="120"/>
      <c r="B39" s="75" t="s">
        <v>116</v>
      </c>
      <c r="C39" s="75" t="s">
        <v>90</v>
      </c>
      <c r="D39" s="77">
        <v>0.19</v>
      </c>
      <c r="E39" s="75">
        <v>35</v>
      </c>
      <c r="F39" s="78">
        <v>1</v>
      </c>
      <c r="G39" s="79">
        <f t="shared" si="7"/>
        <v>9.7222222222222224E-3</v>
      </c>
      <c r="H39" s="75" t="s">
        <v>137</v>
      </c>
      <c r="I39" s="75" t="s">
        <v>153</v>
      </c>
      <c r="J39" s="75">
        <v>16000</v>
      </c>
      <c r="K39" s="75">
        <v>15000</v>
      </c>
      <c r="L39" s="75" t="s">
        <v>164</v>
      </c>
      <c r="M39" s="75">
        <v>10871</v>
      </c>
      <c r="N39" s="75">
        <v>16690</v>
      </c>
      <c r="O39" s="76">
        <f t="shared" si="8"/>
        <v>1.0143929635856208</v>
      </c>
      <c r="P39" s="210">
        <f t="shared" si="9"/>
        <v>18993.050327536374</v>
      </c>
      <c r="Q39" s="210">
        <f t="shared" si="10"/>
        <v>24917.99254860669</v>
      </c>
      <c r="R39" s="210">
        <f t="shared" si="0"/>
        <v>3608.6795622319109</v>
      </c>
      <c r="S39" s="210">
        <f t="shared" si="1"/>
        <v>4734.4185842352708</v>
      </c>
      <c r="T39" s="210">
        <f t="shared" si="2"/>
        <v>287.75978631164236</v>
      </c>
      <c r="U39" s="210">
        <f t="shared" si="11"/>
        <v>377.52736329595371</v>
      </c>
      <c r="V39" s="75">
        <v>5214</v>
      </c>
      <c r="W39" s="75">
        <v>9839</v>
      </c>
      <c r="X39" s="76">
        <f t="shared" si="12"/>
        <v>1.0213924997998416</v>
      </c>
      <c r="Y39" s="77">
        <f t="shared" si="3"/>
        <v>1.4718057216447429</v>
      </c>
      <c r="Z39" s="210">
        <f t="shared" si="4"/>
        <v>7673.9950326556891</v>
      </c>
      <c r="AA39" s="213">
        <f>Z39+1000</f>
        <v>8673.99503265569</v>
      </c>
      <c r="AB39" s="214" t="s">
        <v>194</v>
      </c>
      <c r="AC39" s="210">
        <f t="shared" si="13"/>
        <v>11182.300082914229</v>
      </c>
      <c r="AD39" s="210">
        <f t="shared" si="14"/>
        <v>16718.286649010639</v>
      </c>
      <c r="AE39" s="210">
        <f t="shared" si="5"/>
        <v>2124.6370157537035</v>
      </c>
      <c r="AF39" s="210">
        <f t="shared" si="6"/>
        <v>3176.4744633120213</v>
      </c>
      <c r="AG39" s="210">
        <f t="shared" si="15"/>
        <v>169.42072109748622</v>
      </c>
      <c r="AH39" s="212">
        <f t="shared" si="16"/>
        <v>253.29531121397864</v>
      </c>
    </row>
    <row r="40" spans="1:34" x14ac:dyDescent="0.3">
      <c r="A40" s="122"/>
      <c r="B40" s="95" t="s">
        <v>90</v>
      </c>
      <c r="C40" s="95" t="s">
        <v>128</v>
      </c>
      <c r="D40" s="96">
        <v>0.59</v>
      </c>
      <c r="E40" s="95">
        <v>35</v>
      </c>
      <c r="F40" s="97">
        <v>0.5</v>
      </c>
      <c r="G40" s="98">
        <f t="shared" si="7"/>
        <v>9.7222222222222224E-3</v>
      </c>
      <c r="H40" s="95" t="s">
        <v>137</v>
      </c>
      <c r="I40" s="95" t="s">
        <v>153</v>
      </c>
      <c r="J40" s="95">
        <v>9900</v>
      </c>
      <c r="K40" s="95">
        <v>8600</v>
      </c>
      <c r="L40" s="95" t="s">
        <v>165</v>
      </c>
      <c r="M40" s="95">
        <v>13313</v>
      </c>
      <c r="N40" s="95">
        <v>19643</v>
      </c>
      <c r="O40" s="99">
        <f t="shared" si="8"/>
        <v>1.0130504243870511</v>
      </c>
      <c r="P40" s="215">
        <f t="shared" si="9"/>
        <v>11566.659432607068</v>
      </c>
      <c r="Q40" s="215">
        <f t="shared" si="10"/>
        <v>14797.833689906487</v>
      </c>
      <c r="R40" s="215">
        <f t="shared" si="0"/>
        <v>6824.3290652381702</v>
      </c>
      <c r="S40" s="215">
        <f t="shared" si="1"/>
        <v>8730.7218770448271</v>
      </c>
      <c r="T40" s="215">
        <f t="shared" si="2"/>
        <v>251.20764712166064</v>
      </c>
      <c r="U40" s="215">
        <f t="shared" si="11"/>
        <v>321.3831102573738</v>
      </c>
      <c r="V40" s="95">
        <v>8577</v>
      </c>
      <c r="W40" s="95">
        <v>14205</v>
      </c>
      <c r="X40" s="99">
        <f t="shared" si="12"/>
        <v>1.0169591954328578</v>
      </c>
      <c r="Y40" s="96">
        <f t="shared" si="3"/>
        <v>0.74363404191391869</v>
      </c>
      <c r="Z40" s="215">
        <f t="shared" si="4"/>
        <v>6378.1491774956803</v>
      </c>
      <c r="AA40" s="216">
        <f>Z40+1000</f>
        <v>7378.1491774956803</v>
      </c>
      <c r="AB40" s="217" t="s">
        <v>194</v>
      </c>
      <c r="AC40" s="215">
        <f t="shared" si="13"/>
        <v>9027.962845940152</v>
      </c>
      <c r="AD40" s="215">
        <f t="shared" si="14"/>
        <v>12426.72785730877</v>
      </c>
      <c r="AE40" s="215">
        <f t="shared" si="5"/>
        <v>5326.4980791046892</v>
      </c>
      <c r="AF40" s="215">
        <f t="shared" si="6"/>
        <v>7331.7694358121735</v>
      </c>
      <c r="AG40" s="215">
        <f t="shared" si="15"/>
        <v>196.07158990408908</v>
      </c>
      <c r="AH40" s="218">
        <f t="shared" si="16"/>
        <v>269.88683159940831</v>
      </c>
    </row>
    <row r="41" spans="1:34" x14ac:dyDescent="0.3">
      <c r="A41" s="120" t="s">
        <v>121</v>
      </c>
      <c r="B41" s="75" t="s">
        <v>93</v>
      </c>
      <c r="C41" s="75" t="s">
        <v>117</v>
      </c>
      <c r="D41" s="77">
        <v>0.2</v>
      </c>
      <c r="E41" s="75">
        <v>40</v>
      </c>
      <c r="F41" s="78">
        <v>1</v>
      </c>
      <c r="G41" s="79">
        <f t="shared" si="7"/>
        <v>9.7222222222222224E-3</v>
      </c>
      <c r="H41" s="75" t="s">
        <v>137</v>
      </c>
      <c r="I41" s="75" t="s">
        <v>150</v>
      </c>
      <c r="J41" s="75">
        <v>17000</v>
      </c>
      <c r="K41" s="75">
        <v>16000</v>
      </c>
      <c r="L41" s="75">
        <v>25066</v>
      </c>
      <c r="M41" s="75">
        <v>22317</v>
      </c>
      <c r="N41" s="75">
        <v>30084</v>
      </c>
      <c r="O41" s="76">
        <f t="shared" si="8"/>
        <v>1.0100045390677568</v>
      </c>
      <c r="P41" s="210">
        <f t="shared" si="9"/>
        <v>19157.058612999892</v>
      </c>
      <c r="Q41" s="210">
        <f t="shared" si="10"/>
        <v>23145.790267793309</v>
      </c>
      <c r="R41" s="210">
        <f t="shared" si="0"/>
        <v>3831.4117225999785</v>
      </c>
      <c r="S41" s="210">
        <f t="shared" si="1"/>
        <v>4629.1580535586618</v>
      </c>
      <c r="T41" s="210">
        <f t="shared" si="2"/>
        <v>282.03447402472068</v>
      </c>
      <c r="U41" s="210">
        <f t="shared" si="11"/>
        <v>340.75746783140153</v>
      </c>
      <c r="V41" s="75">
        <v>20753</v>
      </c>
      <c r="W41" s="75">
        <v>28291</v>
      </c>
      <c r="X41" s="76">
        <f t="shared" si="12"/>
        <v>1.0103819529589797</v>
      </c>
      <c r="Y41" s="77">
        <f t="shared" si="3"/>
        <v>0.76175113142447459</v>
      </c>
      <c r="Z41" s="210">
        <f t="shared" si="4"/>
        <v>15808.621230452121</v>
      </c>
      <c r="AA41" s="210">
        <f t="shared" ref="AA41:AA54" si="20">Z41+(Z41-J41)/($AA$55-1000)*1000</f>
        <v>15407.490878976922</v>
      </c>
      <c r="AB41" s="211" t="s">
        <v>191</v>
      </c>
      <c r="AC41" s="210">
        <f t="shared" si="13"/>
        <v>17440.498106049763</v>
      </c>
      <c r="AD41" s="210">
        <f t="shared" si="14"/>
        <v>21221.931694057806</v>
      </c>
      <c r="AE41" s="210">
        <f t="shared" si="5"/>
        <v>3488.0996212099526</v>
      </c>
      <c r="AF41" s="210">
        <f t="shared" si="6"/>
        <v>4244.3863388115615</v>
      </c>
      <c r="AG41" s="210">
        <f t="shared" si="15"/>
        <v>256.76288878351045</v>
      </c>
      <c r="AH41" s="212">
        <f t="shared" si="16"/>
        <v>312.43399438473995</v>
      </c>
    </row>
    <row r="42" spans="1:34" x14ac:dyDescent="0.3">
      <c r="A42" s="120"/>
      <c r="B42" s="75" t="s">
        <v>117</v>
      </c>
      <c r="C42" s="75" t="s">
        <v>118</v>
      </c>
      <c r="D42" s="77">
        <v>1.21</v>
      </c>
      <c r="E42" s="75">
        <v>40</v>
      </c>
      <c r="F42" s="78">
        <v>3</v>
      </c>
      <c r="G42" s="79">
        <f t="shared" si="7"/>
        <v>9.7222222222222224E-3</v>
      </c>
      <c r="H42" s="75" t="s">
        <v>137</v>
      </c>
      <c r="I42" s="75" t="s">
        <v>150</v>
      </c>
      <c r="J42" s="75">
        <v>17000</v>
      </c>
      <c r="K42" s="75">
        <v>17000</v>
      </c>
      <c r="L42" s="75">
        <v>25112</v>
      </c>
      <c r="M42" s="75">
        <v>19935</v>
      </c>
      <c r="N42" s="75">
        <v>26577</v>
      </c>
      <c r="O42" s="76">
        <f t="shared" si="8"/>
        <v>1.009631729370096</v>
      </c>
      <c r="P42" s="210">
        <f t="shared" si="9"/>
        <v>19072.376349184411</v>
      </c>
      <c r="Q42" s="210">
        <f t="shared" si="10"/>
        <v>22882.402910206914</v>
      </c>
      <c r="R42" s="210">
        <f t="shared" si="0"/>
        <v>23077.575382513136</v>
      </c>
      <c r="S42" s="210">
        <f t="shared" si="1"/>
        <v>27687.707521350367</v>
      </c>
      <c r="T42" s="210">
        <f t="shared" si="2"/>
        <v>1133.217028080707</v>
      </c>
      <c r="U42" s="210">
        <f t="shared" si="11"/>
        <v>1359.5961062481274</v>
      </c>
      <c r="V42" s="75">
        <v>18453</v>
      </c>
      <c r="W42" s="75">
        <v>24826</v>
      </c>
      <c r="X42" s="76">
        <f t="shared" si="12"/>
        <v>1.0099378736664921</v>
      </c>
      <c r="Y42" s="77">
        <f t="shared" si="3"/>
        <v>0.85277150739904695</v>
      </c>
      <c r="Z42" s="210">
        <f t="shared" si="4"/>
        <v>15736.192626034614</v>
      </c>
      <c r="AA42" s="210">
        <f t="shared" si="20"/>
        <v>15310.675981728395</v>
      </c>
      <c r="AB42" s="211" t="s">
        <v>191</v>
      </c>
      <c r="AC42" s="210">
        <f t="shared" si="13"/>
        <v>17239.722598447795</v>
      </c>
      <c r="AD42" s="210">
        <f t="shared" si="14"/>
        <v>20803.135313807394</v>
      </c>
      <c r="AE42" s="210">
        <f t="shared" si="5"/>
        <v>20860.064344121831</v>
      </c>
      <c r="AF42" s="210">
        <f t="shared" si="6"/>
        <v>25171.793729706944</v>
      </c>
      <c r="AG42" s="210">
        <f t="shared" si="15"/>
        <v>1024.3268510577732</v>
      </c>
      <c r="AH42" s="212">
        <f t="shared" si="16"/>
        <v>1236.0529565620559</v>
      </c>
    </row>
    <row r="43" spans="1:34" x14ac:dyDescent="0.3">
      <c r="A43" s="120"/>
      <c r="B43" s="75" t="s">
        <v>118</v>
      </c>
      <c r="C43" s="75" t="s">
        <v>119</v>
      </c>
      <c r="D43" s="77">
        <v>1.37</v>
      </c>
      <c r="E43" s="75">
        <v>40</v>
      </c>
      <c r="F43" s="78">
        <v>1</v>
      </c>
      <c r="G43" s="79">
        <f t="shared" si="7"/>
        <v>9.7222222222222224E-3</v>
      </c>
      <c r="H43" s="75" t="s">
        <v>137</v>
      </c>
      <c r="I43" s="75" t="s">
        <v>150</v>
      </c>
      <c r="J43" s="75">
        <v>16000</v>
      </c>
      <c r="K43" s="75">
        <v>16000</v>
      </c>
      <c r="L43" s="75">
        <v>25084</v>
      </c>
      <c r="M43" s="75">
        <v>14061</v>
      </c>
      <c r="N43" s="75">
        <v>16866</v>
      </c>
      <c r="O43" s="76">
        <f t="shared" si="8"/>
        <v>1.006081576601902</v>
      </c>
      <c r="P43" s="210">
        <f t="shared" si="9"/>
        <v>17207.522169587828</v>
      </c>
      <c r="Q43" s="210">
        <f t="shared" si="10"/>
        <v>19308.523571259684</v>
      </c>
      <c r="R43" s="210">
        <f t="shared" si="0"/>
        <v>23574.305372335326</v>
      </c>
      <c r="S43" s="210">
        <f t="shared" si="1"/>
        <v>26452.677292625769</v>
      </c>
      <c r="T43" s="210">
        <f t="shared" si="2"/>
        <v>756.65298873493145</v>
      </c>
      <c r="U43" s="210">
        <f t="shared" si="11"/>
        <v>849.03868925844677</v>
      </c>
      <c r="V43" s="75">
        <v>13908</v>
      </c>
      <c r="W43" s="75">
        <v>16313</v>
      </c>
      <c r="X43" s="76">
        <f t="shared" si="12"/>
        <v>1.0053307622797469</v>
      </c>
      <c r="Y43" s="77">
        <f t="shared" si="3"/>
        <v>1.1378991536875045</v>
      </c>
      <c r="Z43" s="210">
        <f t="shared" si="4"/>
        <v>15825.901429485812</v>
      </c>
      <c r="AA43" s="210">
        <f t="shared" si="20"/>
        <v>15767.283446215732</v>
      </c>
      <c r="AB43" s="211" t="s">
        <v>191</v>
      </c>
      <c r="AC43" s="210">
        <f t="shared" si="13"/>
        <v>16806.006865123578</v>
      </c>
      <c r="AD43" s="210">
        <f t="shared" si="14"/>
        <v>18592.380590953147</v>
      </c>
      <c r="AE43" s="210">
        <f t="shared" si="5"/>
        <v>23024.229405219303</v>
      </c>
      <c r="AF43" s="210">
        <f t="shared" si="6"/>
        <v>25471.561409605813</v>
      </c>
      <c r="AG43" s="210">
        <f t="shared" si="15"/>
        <v>738.99746854140631</v>
      </c>
      <c r="AH43" s="212">
        <f t="shared" si="16"/>
        <v>817.54829098552318</v>
      </c>
    </row>
    <row r="44" spans="1:34" x14ac:dyDescent="0.3">
      <c r="A44" s="120"/>
      <c r="B44" s="75" t="s">
        <v>119</v>
      </c>
      <c r="C44" s="75" t="s">
        <v>105</v>
      </c>
      <c r="D44" s="77">
        <v>1.89</v>
      </c>
      <c r="E44" s="75">
        <v>40</v>
      </c>
      <c r="F44" s="78">
        <v>3</v>
      </c>
      <c r="G44" s="79">
        <f t="shared" si="7"/>
        <v>9.7222222222222224E-3</v>
      </c>
      <c r="H44" s="75" t="s">
        <v>137</v>
      </c>
      <c r="I44" s="75" t="s">
        <v>150</v>
      </c>
      <c r="J44" s="75">
        <v>12000</v>
      </c>
      <c r="K44" s="75">
        <v>12000</v>
      </c>
      <c r="L44" s="75">
        <v>24777</v>
      </c>
      <c r="M44" s="75">
        <v>8158</v>
      </c>
      <c r="N44" s="75">
        <v>10398</v>
      </c>
      <c r="O44" s="76">
        <f t="shared" si="8"/>
        <v>1.0081199372810792</v>
      </c>
      <c r="P44" s="210">
        <f t="shared" si="9"/>
        <v>13222.929757491935</v>
      </c>
      <c r="Q44" s="210">
        <f t="shared" si="10"/>
        <v>15419.119060331413</v>
      </c>
      <c r="R44" s="210">
        <f t="shared" si="0"/>
        <v>24991.337241659756</v>
      </c>
      <c r="S44" s="210">
        <f t="shared" si="1"/>
        <v>29142.135024026371</v>
      </c>
      <c r="T44" s="210">
        <f t="shared" si="2"/>
        <v>1010.4522156350085</v>
      </c>
      <c r="U44" s="210">
        <f t="shared" si="11"/>
        <v>1178.2776815269922</v>
      </c>
      <c r="V44" s="75">
        <v>8740</v>
      </c>
      <c r="W44" s="75">
        <v>11103</v>
      </c>
      <c r="X44" s="76">
        <f t="shared" si="12"/>
        <v>1.0080087381523015</v>
      </c>
      <c r="Y44" s="77">
        <f t="shared" si="3"/>
        <v>1.4709487619514587</v>
      </c>
      <c r="Z44" s="210">
        <f t="shared" si="4"/>
        <v>12856.092179455749</v>
      </c>
      <c r="AA44" s="210">
        <f t="shared" si="20"/>
        <v>13144.333472332384</v>
      </c>
      <c r="AB44" s="211" t="s">
        <v>191</v>
      </c>
      <c r="AC44" s="210">
        <f t="shared" si="13"/>
        <v>14464.723339785014</v>
      </c>
      <c r="AD44" s="210">
        <f t="shared" si="14"/>
        <v>16831.846919795076</v>
      </c>
      <c r="AE44" s="210">
        <f t="shared" si="5"/>
        <v>27338.327112193674</v>
      </c>
      <c r="AF44" s="210">
        <f t="shared" si="6"/>
        <v>31812.190678412691</v>
      </c>
      <c r="AG44" s="210">
        <f t="shared" si="15"/>
        <v>1105.3459418819048</v>
      </c>
      <c r="AH44" s="212">
        <f t="shared" si="16"/>
        <v>1286.2336354543404</v>
      </c>
    </row>
    <row r="45" spans="1:34" x14ac:dyDescent="0.3">
      <c r="A45" s="121" t="s">
        <v>125</v>
      </c>
      <c r="B45" s="100" t="s">
        <v>105</v>
      </c>
      <c r="C45" s="100" t="s">
        <v>131</v>
      </c>
      <c r="D45" s="101">
        <v>1.96</v>
      </c>
      <c r="E45" s="100">
        <v>45</v>
      </c>
      <c r="F45" s="102">
        <v>1.5</v>
      </c>
      <c r="G45" s="103">
        <f t="shared" si="7"/>
        <v>9.7222222222222224E-3</v>
      </c>
      <c r="H45" s="100" t="s">
        <v>137</v>
      </c>
      <c r="I45" s="100" t="s">
        <v>150</v>
      </c>
      <c r="J45" s="100">
        <v>20000</v>
      </c>
      <c r="K45" s="100">
        <v>18000</v>
      </c>
      <c r="L45" s="100">
        <v>24189</v>
      </c>
      <c r="M45" s="100">
        <v>10398</v>
      </c>
      <c r="N45" s="100">
        <v>14145</v>
      </c>
      <c r="O45" s="104">
        <f t="shared" si="8"/>
        <v>1.0103110537947149</v>
      </c>
      <c r="P45" s="207">
        <f t="shared" si="9"/>
        <v>22619.92971485656</v>
      </c>
      <c r="Q45" s="207">
        <f t="shared" si="10"/>
        <v>27487.689663254921</v>
      </c>
      <c r="R45" s="207">
        <f t="shared" si="0"/>
        <v>44335.06224111886</v>
      </c>
      <c r="S45" s="207">
        <f t="shared" si="1"/>
        <v>53875.871739979644</v>
      </c>
      <c r="T45" s="207">
        <f t="shared" si="2"/>
        <v>1315.0975803665217</v>
      </c>
      <c r="U45" s="207">
        <f t="shared" si="11"/>
        <v>1598.1037351442376</v>
      </c>
      <c r="V45" s="100">
        <v>10448</v>
      </c>
      <c r="W45" s="100">
        <v>14408</v>
      </c>
      <c r="X45" s="104">
        <f t="shared" si="12"/>
        <v>1.0107700180742594</v>
      </c>
      <c r="Y45" s="101">
        <f t="shared" si="3"/>
        <v>1.9234468166955183</v>
      </c>
      <c r="Z45" s="207">
        <f t="shared" si="4"/>
        <v>20096.172340834775</v>
      </c>
      <c r="AA45" s="207">
        <f t="shared" si="20"/>
        <v>20128.553012597029</v>
      </c>
      <c r="AB45" s="208" t="s">
        <v>191</v>
      </c>
      <c r="AC45" s="207">
        <f t="shared" si="13"/>
        <v>22889.735281041805</v>
      </c>
      <c r="AD45" s="207">
        <f t="shared" si="14"/>
        <v>28056.625990907207</v>
      </c>
      <c r="AE45" s="207">
        <f t="shared" si="5"/>
        <v>44863.881150841939</v>
      </c>
      <c r="AF45" s="207">
        <f t="shared" si="6"/>
        <v>54990.986942178126</v>
      </c>
      <c r="AG45" s="207">
        <f t="shared" si="15"/>
        <v>1330.7837762005695</v>
      </c>
      <c r="AH45" s="209">
        <f t="shared" si="16"/>
        <v>1631.1810610824664</v>
      </c>
    </row>
    <row r="46" spans="1:34" x14ac:dyDescent="0.3">
      <c r="A46" s="122"/>
      <c r="B46" s="95" t="s">
        <v>120</v>
      </c>
      <c r="C46" s="95" t="s">
        <v>132</v>
      </c>
      <c r="D46" s="96">
        <v>0.15</v>
      </c>
      <c r="E46" s="95">
        <v>45</v>
      </c>
      <c r="F46" s="97">
        <v>0.5</v>
      </c>
      <c r="G46" s="98">
        <f t="shared" si="7"/>
        <v>9.7222222222222224E-3</v>
      </c>
      <c r="H46" s="95" t="s">
        <v>137</v>
      </c>
      <c r="I46" s="95" t="s">
        <v>150</v>
      </c>
      <c r="J46" s="95">
        <v>16000</v>
      </c>
      <c r="K46" s="95">
        <v>16000</v>
      </c>
      <c r="L46" s="95">
        <v>24198</v>
      </c>
      <c r="M46" s="95">
        <v>10398</v>
      </c>
      <c r="N46" s="95">
        <v>14145</v>
      </c>
      <c r="O46" s="99">
        <f t="shared" si="8"/>
        <v>1.0103110537947149</v>
      </c>
      <c r="P46" s="215">
        <f t="shared" si="9"/>
        <v>18095.94377188525</v>
      </c>
      <c r="Q46" s="215">
        <f t="shared" si="10"/>
        <v>21990.151730603939</v>
      </c>
      <c r="R46" s="215">
        <f t="shared" si="0"/>
        <v>2714.3915657827874</v>
      </c>
      <c r="S46" s="215">
        <f t="shared" si="1"/>
        <v>3298.5227595905908</v>
      </c>
      <c r="T46" s="215">
        <f t="shared" si="2"/>
        <v>148.28620590850414</v>
      </c>
      <c r="U46" s="215">
        <f t="shared" si="11"/>
        <v>180.19707668133785</v>
      </c>
      <c r="V46" s="95">
        <v>10448</v>
      </c>
      <c r="W46" s="95">
        <v>14408</v>
      </c>
      <c r="X46" s="99">
        <f t="shared" si="12"/>
        <v>1.0107700180742594</v>
      </c>
      <c r="Y46" s="96">
        <f t="shared" si="3"/>
        <v>1.5387574533564148</v>
      </c>
      <c r="Z46" s="215">
        <f t="shared" si="4"/>
        <v>16076.937872667822</v>
      </c>
      <c r="AA46" s="215">
        <f t="shared" si="20"/>
        <v>16102.842410077625</v>
      </c>
      <c r="AB46" s="406" t="s">
        <v>191</v>
      </c>
      <c r="AC46" s="215">
        <f t="shared" si="13"/>
        <v>18311.788224833446</v>
      </c>
      <c r="AD46" s="215">
        <f t="shared" si="14"/>
        <v>22445.300792725768</v>
      </c>
      <c r="AE46" s="215">
        <f t="shared" si="5"/>
        <v>2746.7682337250167</v>
      </c>
      <c r="AF46" s="215">
        <f t="shared" si="6"/>
        <v>3366.7951189088649</v>
      </c>
      <c r="AG46" s="215">
        <f t="shared" si="15"/>
        <v>150.05493128682966</v>
      </c>
      <c r="AH46" s="218">
        <f t="shared" si="16"/>
        <v>183.92677038483617</v>
      </c>
    </row>
    <row r="47" spans="1:34" x14ac:dyDescent="0.3">
      <c r="A47" s="88" t="s">
        <v>119</v>
      </c>
      <c r="B47" s="75" t="s">
        <v>121</v>
      </c>
      <c r="C47" s="75" t="s">
        <v>105</v>
      </c>
      <c r="D47" s="77">
        <v>0.51</v>
      </c>
      <c r="E47" s="75">
        <v>35</v>
      </c>
      <c r="F47" s="78">
        <v>2</v>
      </c>
      <c r="G47" s="79">
        <f t="shared" si="7"/>
        <v>9.7222222222222224E-3</v>
      </c>
      <c r="H47" s="75" t="s">
        <v>137</v>
      </c>
      <c r="I47" s="75" t="s">
        <v>148</v>
      </c>
      <c r="J47" s="75">
        <v>12000</v>
      </c>
      <c r="K47" s="75">
        <v>11000</v>
      </c>
      <c r="L47" s="75">
        <v>24781</v>
      </c>
      <c r="M47" s="75">
        <v>8914</v>
      </c>
      <c r="N47" s="75">
        <v>9737</v>
      </c>
      <c r="O47" s="76">
        <f t="shared" si="8"/>
        <v>1.0029480030889271</v>
      </c>
      <c r="P47" s="210">
        <f t="shared" si="9"/>
        <v>12431.463585089745</v>
      </c>
      <c r="Q47" s="210">
        <f t="shared" si="10"/>
        <v>13146.562314664849</v>
      </c>
      <c r="R47" s="210">
        <f t="shared" si="0"/>
        <v>6340.0464283957699</v>
      </c>
      <c r="S47" s="210">
        <f t="shared" si="1"/>
        <v>6704.7467804790731</v>
      </c>
      <c r="T47" s="210">
        <f t="shared" si="2"/>
        <v>422.86708671186221</v>
      </c>
      <c r="U47" s="210">
        <f t="shared" si="11"/>
        <v>447.1917942909011</v>
      </c>
      <c r="V47" s="75">
        <v>7951</v>
      </c>
      <c r="W47" s="75">
        <v>8564</v>
      </c>
      <c r="X47" s="76">
        <f t="shared" si="12"/>
        <v>1.0024787224256428</v>
      </c>
      <c r="Y47" s="77">
        <f t="shared" si="3"/>
        <v>1.3461969934933813</v>
      </c>
      <c r="Z47" s="210">
        <f t="shared" si="4"/>
        <v>10703.612295265875</v>
      </c>
      <c r="AA47" s="210">
        <f t="shared" si="20"/>
        <v>10267.126041741756</v>
      </c>
      <c r="AB47" s="211" t="s">
        <v>191</v>
      </c>
      <c r="AC47" s="210">
        <f t="shared" si="13"/>
        <v>10576.716305535268</v>
      </c>
      <c r="AD47" s="210">
        <f t="shared" si="14"/>
        <v>11086.104351974365</v>
      </c>
      <c r="AE47" s="210">
        <f t="shared" si="5"/>
        <v>5394.1253158229874</v>
      </c>
      <c r="AF47" s="210">
        <f t="shared" si="6"/>
        <v>5653.913219506926</v>
      </c>
      <c r="AG47" s="210">
        <f t="shared" si="15"/>
        <v>359.77623877400123</v>
      </c>
      <c r="AH47" s="212">
        <f t="shared" si="16"/>
        <v>377.1035178774772</v>
      </c>
    </row>
    <row r="48" spans="1:34" x14ac:dyDescent="0.3">
      <c r="A48" s="105" t="s">
        <v>140</v>
      </c>
      <c r="B48" s="106" t="s">
        <v>122</v>
      </c>
      <c r="C48" s="106" t="s">
        <v>121</v>
      </c>
      <c r="D48" s="107">
        <v>2.4900000000000002</v>
      </c>
      <c r="E48" s="106">
        <v>65</v>
      </c>
      <c r="F48" s="108">
        <v>0</v>
      </c>
      <c r="G48" s="109">
        <f t="shared" si="7"/>
        <v>9.7222222222222224E-3</v>
      </c>
      <c r="H48" s="106" t="s">
        <v>136</v>
      </c>
      <c r="I48" s="106" t="s">
        <v>154</v>
      </c>
      <c r="J48" s="106">
        <v>12000</v>
      </c>
      <c r="K48" s="106">
        <v>14000</v>
      </c>
      <c r="L48" s="106" t="s">
        <v>166</v>
      </c>
      <c r="M48" s="106">
        <v>13418</v>
      </c>
      <c r="N48" s="106">
        <v>18518</v>
      </c>
      <c r="O48" s="110">
        <f t="shared" si="8"/>
        <v>1.0107960662074853</v>
      </c>
      <c r="P48" s="408">
        <f t="shared" si="9"/>
        <v>13650.349243964178</v>
      </c>
      <c r="Q48" s="408">
        <f t="shared" si="10"/>
        <v>16739.831468800276</v>
      </c>
      <c r="R48" s="408">
        <f t="shared" si="0"/>
        <v>33989.369617470802</v>
      </c>
      <c r="S48" s="408">
        <f t="shared" si="1"/>
        <v>41682.180357312689</v>
      </c>
      <c r="T48" s="408">
        <f t="shared" si="2"/>
        <v>522.91337873032012</v>
      </c>
      <c r="U48" s="408">
        <f t="shared" si="11"/>
        <v>641.26431318942605</v>
      </c>
      <c r="V48" s="106">
        <v>17214</v>
      </c>
      <c r="W48" s="106">
        <v>23348</v>
      </c>
      <c r="X48" s="110">
        <f t="shared" si="12"/>
        <v>1.0102113947687084</v>
      </c>
      <c r="Y48" s="107">
        <f t="shared" si="3"/>
        <v>0.89432106126099264</v>
      </c>
      <c r="Z48" s="408">
        <f t="shared" si="4"/>
        <v>15394.842748546727</v>
      </c>
      <c r="AA48" s="408">
        <f t="shared" si="20"/>
        <v>16537.866696710895</v>
      </c>
      <c r="AB48" s="409" t="s">
        <v>191</v>
      </c>
      <c r="AC48" s="408">
        <f t="shared" si="13"/>
        <v>18682.140822433706</v>
      </c>
      <c r="AD48" s="408">
        <f t="shared" si="14"/>
        <v>22659.985929546634</v>
      </c>
      <c r="AE48" s="408">
        <f t="shared" si="5"/>
        <v>46518.53064785993</v>
      </c>
      <c r="AF48" s="408">
        <f t="shared" si="6"/>
        <v>56423.364964571127</v>
      </c>
      <c r="AG48" s="408">
        <f t="shared" si="15"/>
        <v>715.66970227476827</v>
      </c>
      <c r="AH48" s="410">
        <f t="shared" si="16"/>
        <v>868.0517686857097</v>
      </c>
    </row>
    <row r="49" spans="1:37" x14ac:dyDescent="0.3">
      <c r="A49" s="123" t="s">
        <v>105</v>
      </c>
      <c r="B49" s="75" t="s">
        <v>121</v>
      </c>
      <c r="C49" s="75" t="s">
        <v>119</v>
      </c>
      <c r="D49" s="77">
        <v>1.99</v>
      </c>
      <c r="E49" s="75">
        <v>65</v>
      </c>
      <c r="F49" s="78">
        <v>0</v>
      </c>
      <c r="G49" s="79">
        <f t="shared" si="7"/>
        <v>9.7222222222222224E-3</v>
      </c>
      <c r="H49" s="75" t="s">
        <v>137</v>
      </c>
      <c r="I49" s="75" t="s">
        <v>154</v>
      </c>
      <c r="J49" s="75">
        <v>23000</v>
      </c>
      <c r="K49" s="75">
        <v>25000</v>
      </c>
      <c r="L49" s="75" t="s">
        <v>167</v>
      </c>
      <c r="M49" s="75">
        <v>20364</v>
      </c>
      <c r="N49" s="75">
        <v>24967</v>
      </c>
      <c r="O49" s="76">
        <f t="shared" si="8"/>
        <v>1.0068160011488763</v>
      </c>
      <c r="P49" s="210">
        <f t="shared" si="9"/>
        <v>24953.366492973022</v>
      </c>
      <c r="Q49" s="210">
        <f t="shared" si="10"/>
        <v>28391.034537209391</v>
      </c>
      <c r="R49" s="210">
        <f t="shared" si="0"/>
        <v>49657.199321016313</v>
      </c>
      <c r="S49" s="210">
        <f t="shared" si="1"/>
        <v>56498.158729046685</v>
      </c>
      <c r="T49" s="210">
        <f t="shared" si="2"/>
        <v>763.95691263102015</v>
      </c>
      <c r="U49" s="210">
        <f t="shared" si="11"/>
        <v>869.20244198533362</v>
      </c>
      <c r="V49" s="75">
        <v>22985</v>
      </c>
      <c r="W49" s="75">
        <v>28059</v>
      </c>
      <c r="X49" s="76">
        <f t="shared" si="12"/>
        <v>1.0066710733697881</v>
      </c>
      <c r="Y49" s="77">
        <f t="shared" si="3"/>
        <v>1.1294441170693381</v>
      </c>
      <c r="Z49" s="210">
        <f t="shared" si="4"/>
        <v>25960.273030838736</v>
      </c>
      <c r="AA49" s="210">
        <f t="shared" si="20"/>
        <v>26956.97986469774</v>
      </c>
      <c r="AB49" s="211" t="s">
        <v>191</v>
      </c>
      <c r="AC49" s="210">
        <f t="shared" si="13"/>
        <v>29195.929523914459</v>
      </c>
      <c r="AD49" s="210">
        <f t="shared" si="14"/>
        <v>33127.335385909915</v>
      </c>
      <c r="AE49" s="210">
        <f t="shared" si="5"/>
        <v>58099.899752589772</v>
      </c>
      <c r="AF49" s="210">
        <f t="shared" si="6"/>
        <v>65923.397417960732</v>
      </c>
      <c r="AG49" s="210">
        <f t="shared" si="15"/>
        <v>893.84461157830413</v>
      </c>
      <c r="AH49" s="212">
        <f t="shared" si="16"/>
        <v>1014.2061141224727</v>
      </c>
    </row>
    <row r="50" spans="1:37" x14ac:dyDescent="0.3">
      <c r="A50" s="123"/>
      <c r="B50" s="75" t="s">
        <v>119</v>
      </c>
      <c r="C50" s="75" t="s">
        <v>123</v>
      </c>
      <c r="D50" s="77">
        <v>2.2799999999999998</v>
      </c>
      <c r="E50" s="75">
        <v>65</v>
      </c>
      <c r="F50" s="78">
        <v>0</v>
      </c>
      <c r="G50" s="79">
        <f t="shared" si="7"/>
        <v>9.7222222222222224E-3</v>
      </c>
      <c r="H50" s="75" t="s">
        <v>137</v>
      </c>
      <c r="I50" s="75" t="s">
        <v>154</v>
      </c>
      <c r="J50" s="75">
        <v>36000</v>
      </c>
      <c r="K50" s="75">
        <v>39000</v>
      </c>
      <c r="L50" s="75" t="s">
        <v>168</v>
      </c>
      <c r="M50" s="75">
        <v>30805</v>
      </c>
      <c r="N50" s="75">
        <v>36055</v>
      </c>
      <c r="O50" s="76">
        <f t="shared" si="8"/>
        <v>1.0052594002052186</v>
      </c>
      <c r="P50" s="210">
        <f t="shared" si="9"/>
        <v>38338.950081124269</v>
      </c>
      <c r="Q50" s="210">
        <f t="shared" si="10"/>
        <v>42356.974396311198</v>
      </c>
      <c r="R50" s="210">
        <f t="shared" si="0"/>
        <v>87412.806184963323</v>
      </c>
      <c r="S50" s="210">
        <f t="shared" si="1"/>
        <v>96573.901623589525</v>
      </c>
      <c r="T50" s="210">
        <f t="shared" si="2"/>
        <v>1344.8124028455898</v>
      </c>
      <c r="U50" s="210">
        <f t="shared" si="11"/>
        <v>1485.752332670608</v>
      </c>
      <c r="V50" s="75">
        <v>32390</v>
      </c>
      <c r="W50" s="75">
        <v>37802</v>
      </c>
      <c r="X50" s="76">
        <f t="shared" si="12"/>
        <v>1.0051636954275978</v>
      </c>
      <c r="Y50" s="77">
        <f t="shared" si="3"/>
        <v>1.1686414543093653</v>
      </c>
      <c r="Z50" s="210">
        <f t="shared" si="4"/>
        <v>37852.296705080342</v>
      </c>
      <c r="AA50" s="210">
        <f t="shared" si="20"/>
        <v>38475.954308637607</v>
      </c>
      <c r="AB50" s="211" t="s">
        <v>191</v>
      </c>
      <c r="AC50" s="210">
        <f t="shared" si="13"/>
        <v>40928.980998720923</v>
      </c>
      <c r="AD50" s="210">
        <f t="shared" si="14"/>
        <v>45136.722897938744</v>
      </c>
      <c r="AE50" s="210">
        <f t="shared" si="5"/>
        <v>93318.076677083693</v>
      </c>
      <c r="AF50" s="210">
        <f t="shared" si="6"/>
        <v>102911.72820730033</v>
      </c>
      <c r="AG50" s="210">
        <f t="shared" si="15"/>
        <v>1435.66271810898</v>
      </c>
      <c r="AH50" s="212">
        <f t="shared" si="16"/>
        <v>1583.2573570353898</v>
      </c>
    </row>
    <row r="51" spans="1:37" x14ac:dyDescent="0.3">
      <c r="A51" s="123"/>
      <c r="B51" s="75" t="s">
        <v>123</v>
      </c>
      <c r="C51" s="75" t="s">
        <v>101</v>
      </c>
      <c r="D51" s="77">
        <v>0.69</v>
      </c>
      <c r="E51" s="75">
        <v>65</v>
      </c>
      <c r="F51" s="78">
        <v>0</v>
      </c>
      <c r="G51" s="79">
        <f t="shared" si="7"/>
        <v>9.7222222222222224E-3</v>
      </c>
      <c r="H51" s="75" t="s">
        <v>137</v>
      </c>
      <c r="I51" s="75" t="s">
        <v>154</v>
      </c>
      <c r="J51" s="75">
        <v>28000</v>
      </c>
      <c r="K51" s="75">
        <v>30000</v>
      </c>
      <c r="L51" s="75" t="s">
        <v>169</v>
      </c>
      <c r="M51" s="75">
        <v>25701</v>
      </c>
      <c r="N51" s="75">
        <v>31196</v>
      </c>
      <c r="O51" s="76">
        <f t="shared" si="8"/>
        <v>1.0064795681529426</v>
      </c>
      <c r="P51" s="210">
        <f t="shared" si="9"/>
        <v>30256.423290040537</v>
      </c>
      <c r="Q51" s="210">
        <f t="shared" si="10"/>
        <v>34206.755574754941</v>
      </c>
      <c r="R51" s="210">
        <f t="shared" si="0"/>
        <v>20876.932070127968</v>
      </c>
      <c r="S51" s="210">
        <f t="shared" si="1"/>
        <v>23602.661346580906</v>
      </c>
      <c r="T51" s="210">
        <f t="shared" si="2"/>
        <v>321.18357030966109</v>
      </c>
      <c r="U51" s="210">
        <f t="shared" si="11"/>
        <v>363.1178668704755</v>
      </c>
      <c r="V51" s="75">
        <v>26414</v>
      </c>
      <c r="W51" s="75">
        <v>31987</v>
      </c>
      <c r="X51" s="76">
        <f t="shared" si="12"/>
        <v>1.0064015830253394</v>
      </c>
      <c r="Y51" s="77">
        <f t="shared" si="3"/>
        <v>1.0894517723045796</v>
      </c>
      <c r="Z51" s="210">
        <f t="shared" si="4"/>
        <v>28776.779113653163</v>
      </c>
      <c r="AA51" s="210">
        <f t="shared" si="20"/>
        <v>29038.316155308301</v>
      </c>
      <c r="AB51" s="211" t="s">
        <v>191</v>
      </c>
      <c r="AC51" s="210">
        <f t="shared" si="13"/>
        <v>31349.250637943227</v>
      </c>
      <c r="AD51" s="210">
        <f t="shared" si="14"/>
        <v>35390.123434975802</v>
      </c>
      <c r="AE51" s="210">
        <f t="shared" si="5"/>
        <v>21630.982940180824</v>
      </c>
      <c r="AF51" s="210">
        <f t="shared" si="6"/>
        <v>24419.1851701333</v>
      </c>
      <c r="AG51" s="210">
        <f t="shared" si="15"/>
        <v>332.78435292585885</v>
      </c>
      <c r="AH51" s="212">
        <f t="shared" si="16"/>
        <v>375.67977184820467</v>
      </c>
    </row>
    <row r="52" spans="1:37" x14ac:dyDescent="0.3">
      <c r="A52" s="123"/>
      <c r="B52" s="75" t="s">
        <v>101</v>
      </c>
      <c r="C52" s="75" t="s">
        <v>124</v>
      </c>
      <c r="D52" s="77">
        <v>1.1499999999999999</v>
      </c>
      <c r="E52" s="75">
        <v>65</v>
      </c>
      <c r="F52" s="78">
        <v>0</v>
      </c>
      <c r="G52" s="79">
        <f t="shared" si="7"/>
        <v>9.7222222222222224E-3</v>
      </c>
      <c r="H52" s="75" t="s">
        <v>137</v>
      </c>
      <c r="I52" s="75" t="s">
        <v>154</v>
      </c>
      <c r="J52" s="75">
        <v>32000</v>
      </c>
      <c r="K52" s="75">
        <v>36000</v>
      </c>
      <c r="L52" s="75" t="s">
        <v>170</v>
      </c>
      <c r="M52" s="75">
        <v>31037</v>
      </c>
      <c r="N52" s="75">
        <v>37119</v>
      </c>
      <c r="O52" s="76">
        <f t="shared" si="8"/>
        <v>1.0059827900496225</v>
      </c>
      <c r="P52" s="210">
        <f t="shared" si="9"/>
        <v>34374.515917784629</v>
      </c>
      <c r="Q52" s="210">
        <f t="shared" si="10"/>
        <v>38499.674771506929</v>
      </c>
      <c r="R52" s="210">
        <f t="shared" si="0"/>
        <v>39530.693305452318</v>
      </c>
      <c r="S52" s="210">
        <f t="shared" si="1"/>
        <v>44274.625987232961</v>
      </c>
      <c r="T52" s="210">
        <f t="shared" si="2"/>
        <v>608.16451239157414</v>
      </c>
      <c r="U52" s="210">
        <f t="shared" si="11"/>
        <v>681.14809211127636</v>
      </c>
      <c r="V52" s="75">
        <v>31019</v>
      </c>
      <c r="W52" s="75">
        <v>36902</v>
      </c>
      <c r="X52" s="76">
        <f t="shared" si="12"/>
        <v>1.0058056488396228</v>
      </c>
      <c r="Y52" s="77">
        <f t="shared" si="3"/>
        <v>1.0310274833263524</v>
      </c>
      <c r="Z52" s="210">
        <f t="shared" si="4"/>
        <v>31981.441505300125</v>
      </c>
      <c r="AA52" s="210">
        <f t="shared" si="20"/>
        <v>31975.192967310282</v>
      </c>
      <c r="AB52" s="211" t="s">
        <v>191</v>
      </c>
      <c r="AC52" s="210">
        <f t="shared" si="13"/>
        <v>34275.35951251287</v>
      </c>
      <c r="AD52" s="210">
        <f t="shared" si="14"/>
        <v>38260.386792966347</v>
      </c>
      <c r="AE52" s="210">
        <f t="shared" si="5"/>
        <v>39416.663439389798</v>
      </c>
      <c r="AF52" s="210">
        <f t="shared" si="6"/>
        <v>43999.444811911293</v>
      </c>
      <c r="AG52" s="210">
        <f t="shared" si="15"/>
        <v>606.41020675984305</v>
      </c>
      <c r="AH52" s="212">
        <f t="shared" si="16"/>
        <v>676.9145355678661</v>
      </c>
    </row>
    <row r="53" spans="1:37" x14ac:dyDescent="0.3">
      <c r="A53" s="123"/>
      <c r="B53" s="75" t="s">
        <v>124</v>
      </c>
      <c r="C53" s="75" t="s">
        <v>125</v>
      </c>
      <c r="D53" s="77">
        <v>1.83</v>
      </c>
      <c r="E53" s="75">
        <v>65</v>
      </c>
      <c r="F53" s="78">
        <v>0</v>
      </c>
      <c r="G53" s="79">
        <f t="shared" si="7"/>
        <v>9.7222222222222224E-3</v>
      </c>
      <c r="H53" s="75" t="s">
        <v>137</v>
      </c>
      <c r="I53" s="75" t="s">
        <v>154</v>
      </c>
      <c r="J53" s="75">
        <v>41000</v>
      </c>
      <c r="K53" s="75">
        <v>42000</v>
      </c>
      <c r="L53" s="75" t="s">
        <v>171</v>
      </c>
      <c r="M53" s="75">
        <v>34644</v>
      </c>
      <c r="N53" s="75">
        <v>40706</v>
      </c>
      <c r="O53" s="76">
        <f t="shared" si="8"/>
        <v>1.0053895031081235</v>
      </c>
      <c r="P53" s="210">
        <f t="shared" si="9"/>
        <v>43731.665348134018</v>
      </c>
      <c r="Q53" s="210">
        <f t="shared" si="10"/>
        <v>48433.806421148962</v>
      </c>
      <c r="R53" s="210">
        <f t="shared" si="0"/>
        <v>80028.947587085262</v>
      </c>
      <c r="S53" s="210">
        <f t="shared" si="1"/>
        <v>88633.865750702607</v>
      </c>
      <c r="T53" s="210">
        <f t="shared" si="2"/>
        <v>1231.2145782628502</v>
      </c>
      <c r="U53" s="210">
        <f t="shared" si="11"/>
        <v>1363.5979346261938</v>
      </c>
      <c r="V53" s="75">
        <v>34548</v>
      </c>
      <c r="W53" s="75">
        <v>40504</v>
      </c>
      <c r="X53" s="76">
        <f t="shared" si="12"/>
        <v>1.0053157813357483</v>
      </c>
      <c r="Y53" s="77">
        <f t="shared" si="3"/>
        <v>1.1834661124581458</v>
      </c>
      <c r="Z53" s="210">
        <f t="shared" si="4"/>
        <v>40886.387253204019</v>
      </c>
      <c r="AA53" s="210">
        <f t="shared" si="20"/>
        <v>40848.134497473256</v>
      </c>
      <c r="AB53" s="211" t="s">
        <v>191</v>
      </c>
      <c r="AC53" s="210">
        <f t="shared" si="13"/>
        <v>43531.359326541329</v>
      </c>
      <c r="AD53" s="210">
        <f t="shared" si="14"/>
        <v>48144.838142833585</v>
      </c>
      <c r="AE53" s="210">
        <f t="shared" si="5"/>
        <v>79662.387567570637</v>
      </c>
      <c r="AF53" s="210">
        <f t="shared" si="6"/>
        <v>88105.053801385468</v>
      </c>
      <c r="AG53" s="210">
        <f t="shared" si="15"/>
        <v>1225.5751933472404</v>
      </c>
      <c r="AH53" s="212">
        <f t="shared" si="16"/>
        <v>1355.4623661751609</v>
      </c>
    </row>
    <row r="54" spans="1:37" x14ac:dyDescent="0.3">
      <c r="A54" s="124"/>
      <c r="B54" s="95" t="s">
        <v>125</v>
      </c>
      <c r="C54" s="95" t="s">
        <v>132</v>
      </c>
      <c r="D54" s="96">
        <v>1.04</v>
      </c>
      <c r="E54" s="95">
        <v>65</v>
      </c>
      <c r="F54" s="97">
        <v>0</v>
      </c>
      <c r="G54" s="98">
        <f t="shared" si="7"/>
        <v>9.7222222222222224E-3</v>
      </c>
      <c r="H54" s="95" t="s">
        <v>137</v>
      </c>
      <c r="I54" s="95" t="s">
        <v>154</v>
      </c>
      <c r="J54" s="95">
        <v>25000</v>
      </c>
      <c r="K54" s="95">
        <v>24000</v>
      </c>
      <c r="L54" s="95" t="s">
        <v>172</v>
      </c>
      <c r="M54" s="95">
        <v>18991</v>
      </c>
      <c r="N54" s="95">
        <v>24078</v>
      </c>
      <c r="O54" s="99">
        <f t="shared" si="8"/>
        <v>1.0079424881278067</v>
      </c>
      <c r="P54" s="215">
        <f t="shared" si="9"/>
        <v>27489.639163221946</v>
      </c>
      <c r="Q54" s="215">
        <f t="shared" si="10"/>
        <v>31948.342937630088</v>
      </c>
      <c r="R54" s="215">
        <f t="shared" si="0"/>
        <v>28589.224729750826</v>
      </c>
      <c r="S54" s="215">
        <f t="shared" si="1"/>
        <v>33226.276655135291</v>
      </c>
      <c r="T54" s="215">
        <f t="shared" si="2"/>
        <v>439.83422661155112</v>
      </c>
      <c r="U54" s="215">
        <f t="shared" si="11"/>
        <v>511.1734870020814</v>
      </c>
      <c r="V54" s="95">
        <v>18887</v>
      </c>
      <c r="W54" s="95">
        <v>24147</v>
      </c>
      <c r="X54" s="99">
        <f t="shared" si="12"/>
        <v>1.008223169175205</v>
      </c>
      <c r="Y54" s="96">
        <f t="shared" si="3"/>
        <v>1.3164130377547258</v>
      </c>
      <c r="Z54" s="215">
        <f t="shared" si="4"/>
        <v>24863.093044073506</v>
      </c>
      <c r="AA54" s="215">
        <f t="shared" si="20"/>
        <v>24816.997262652931</v>
      </c>
      <c r="AB54" s="406" t="s">
        <v>191</v>
      </c>
      <c r="AC54" s="215">
        <f t="shared" si="13"/>
        <v>27379.739608401411</v>
      </c>
      <c r="AD54" s="215">
        <f t="shared" si="14"/>
        <v>31989.400997463308</v>
      </c>
      <c r="AE54" s="215">
        <f t="shared" si="5"/>
        <v>28474.929192737469</v>
      </c>
      <c r="AF54" s="215">
        <f t="shared" si="6"/>
        <v>33268.977037361845</v>
      </c>
      <c r="AG54" s="215">
        <f t="shared" si="15"/>
        <v>438.07583373442259</v>
      </c>
      <c r="AH54" s="218">
        <f t="shared" si="16"/>
        <v>511.83041595941296</v>
      </c>
    </row>
    <row r="55" spans="1:37" ht="17.25" thickBot="1" x14ac:dyDescent="0.35">
      <c r="A55" s="89" t="s">
        <v>141</v>
      </c>
      <c r="B55" s="90" t="s">
        <v>99</v>
      </c>
      <c r="C55" s="90" t="s">
        <v>102</v>
      </c>
      <c r="D55" s="91">
        <v>5.5</v>
      </c>
      <c r="E55" s="90">
        <v>55</v>
      </c>
      <c r="F55" s="92">
        <v>0</v>
      </c>
      <c r="G55" s="93">
        <f t="shared" si="7"/>
        <v>9.7222222222222224E-3</v>
      </c>
      <c r="H55" s="90" t="s">
        <v>136</v>
      </c>
      <c r="I55" s="90" t="s">
        <v>173</v>
      </c>
      <c r="J55" s="90">
        <v>0</v>
      </c>
      <c r="K55" s="90">
        <v>0</v>
      </c>
      <c r="L55" s="90">
        <v>304547</v>
      </c>
      <c r="M55" s="90">
        <v>0</v>
      </c>
      <c r="N55" s="90">
        <v>0</v>
      </c>
      <c r="O55" s="94">
        <v>0</v>
      </c>
      <c r="P55" s="411">
        <f t="shared" si="9"/>
        <v>0</v>
      </c>
      <c r="Q55" s="411">
        <f t="shared" si="10"/>
        <v>0</v>
      </c>
      <c r="R55" s="411">
        <f t="shared" si="0"/>
        <v>0</v>
      </c>
      <c r="S55" s="411">
        <f t="shared" si="1"/>
        <v>0</v>
      </c>
      <c r="T55" s="411">
        <f t="shared" si="2"/>
        <v>0</v>
      </c>
      <c r="U55" s="411">
        <f t="shared" si="11"/>
        <v>0</v>
      </c>
      <c r="V55" s="90">
        <v>7491</v>
      </c>
      <c r="W55" s="90">
        <v>10144</v>
      </c>
      <c r="X55" s="412">
        <f>X3</f>
        <v>1.0091299466942787</v>
      </c>
      <c r="Y55" s="413" t="s">
        <v>4</v>
      </c>
      <c r="Z55" s="414">
        <f>AC63</f>
        <v>2970.0539118180741</v>
      </c>
      <c r="AA55" s="414">
        <f>Z55+1000</f>
        <v>3970.0539118180741</v>
      </c>
      <c r="AB55" s="415" t="s">
        <v>218</v>
      </c>
      <c r="AC55" s="411">
        <f t="shared" si="13"/>
        <v>4427.5302485784305</v>
      </c>
      <c r="AD55" s="411">
        <f t="shared" si="14"/>
        <v>5262.066475388574</v>
      </c>
      <c r="AE55" s="411">
        <f t="shared" si="5"/>
        <v>24351.416367181366</v>
      </c>
      <c r="AF55" s="411">
        <f t="shared" si="6"/>
        <v>28941.365614637158</v>
      </c>
      <c r="AG55" s="411">
        <f t="shared" si="15"/>
        <v>442.75302485784306</v>
      </c>
      <c r="AH55" s="416">
        <f t="shared" si="16"/>
        <v>526.2066475388574</v>
      </c>
    </row>
    <row r="56" spans="1:37" ht="18" x14ac:dyDescent="0.3">
      <c r="A56" s="80" t="s">
        <v>221</v>
      </c>
      <c r="R56" s="210"/>
      <c r="S56" s="210"/>
      <c r="T56" s="210"/>
      <c r="U56" s="210"/>
      <c r="X56" s="417"/>
      <c r="Y56" s="417"/>
      <c r="Z56" s="417"/>
      <c r="AA56" s="417"/>
      <c r="AB56" s="417"/>
      <c r="AE56" s="210"/>
      <c r="AF56" s="210"/>
      <c r="AG56" s="210"/>
      <c r="AH56" s="210"/>
    </row>
    <row r="57" spans="1:37" ht="18" x14ac:dyDescent="0.3">
      <c r="A57" s="80" t="s">
        <v>222</v>
      </c>
      <c r="T57" s="210"/>
      <c r="U57" s="210"/>
      <c r="X57" s="418"/>
      <c r="Y57" s="418"/>
      <c r="Z57" s="418"/>
      <c r="AA57" s="417"/>
      <c r="AB57" s="417"/>
    </row>
    <row r="58" spans="1:37" ht="17.25" thickBot="1" x14ac:dyDescent="0.35">
      <c r="T58" s="420"/>
      <c r="U58" s="420"/>
      <c r="W58" s="421" t="s">
        <v>234</v>
      </c>
      <c r="X58" s="421"/>
      <c r="Y58" s="421"/>
      <c r="Z58" s="421"/>
      <c r="AA58" s="421"/>
      <c r="AB58" s="421"/>
      <c r="AC58" s="421"/>
      <c r="AH58" s="75"/>
      <c r="AI58" s="419"/>
    </row>
    <row r="59" spans="1:37" s="42" customFormat="1" ht="17.25" thickBot="1" x14ac:dyDescent="0.35">
      <c r="A59" s="68"/>
      <c r="B59" s="68"/>
      <c r="C59" s="68"/>
      <c r="D59" s="68"/>
      <c r="E59" s="68"/>
      <c r="F59" s="68"/>
      <c r="G59" s="205"/>
      <c r="H59" s="205"/>
      <c r="I59" s="205"/>
      <c r="J59" s="205"/>
      <c r="K59" s="205"/>
      <c r="L59" s="205"/>
      <c r="M59" s="205"/>
      <c r="N59" s="205"/>
      <c r="O59" s="205"/>
      <c r="P59" s="205"/>
      <c r="Q59" s="205"/>
      <c r="R59" s="205"/>
      <c r="S59" s="205"/>
      <c r="T59" s="370"/>
      <c r="U59" s="370"/>
      <c r="V59" s="205"/>
      <c r="W59" s="367" t="s">
        <v>215</v>
      </c>
      <c r="X59" s="422" t="s">
        <v>142</v>
      </c>
      <c r="Y59" s="368" t="s">
        <v>214</v>
      </c>
      <c r="Z59" s="368" t="s">
        <v>210</v>
      </c>
      <c r="AA59" s="423" t="s">
        <v>209</v>
      </c>
      <c r="AB59" s="423" t="s">
        <v>216</v>
      </c>
      <c r="AC59" s="424" t="s">
        <v>211</v>
      </c>
      <c r="AD59" s="425"/>
      <c r="AE59" s="205"/>
      <c r="AF59" s="205"/>
      <c r="AG59" s="205"/>
      <c r="AH59" s="205"/>
      <c r="AI59" s="205"/>
      <c r="AJ59" s="205"/>
      <c r="AK59" s="68"/>
    </row>
    <row r="60" spans="1:37" x14ac:dyDescent="0.3">
      <c r="A60" s="68"/>
      <c r="B60" s="68"/>
      <c r="C60" s="68"/>
      <c r="D60" s="68"/>
      <c r="E60" s="68"/>
      <c r="F60" s="68"/>
      <c r="T60" s="420"/>
      <c r="U60" s="420"/>
      <c r="W60" s="235" t="s">
        <v>212</v>
      </c>
      <c r="X60" s="426">
        <v>11000</v>
      </c>
      <c r="Y60" s="427">
        <v>14712</v>
      </c>
      <c r="Z60" s="428">
        <f>X60/Y60</f>
        <v>0.74768896139206087</v>
      </c>
      <c r="AA60" s="426">
        <v>14853</v>
      </c>
      <c r="AB60" s="426">
        <f>Z60*AA60</f>
        <v>11105.42414355628</v>
      </c>
      <c r="AC60" s="429">
        <f>AB60-X60</f>
        <v>105.42414355627989</v>
      </c>
      <c r="AH60" s="75"/>
      <c r="AI60" s="75"/>
      <c r="AJ60" s="75"/>
      <c r="AK60" s="419"/>
    </row>
    <row r="61" spans="1:37" x14ac:dyDescent="0.3">
      <c r="A61" s="68"/>
      <c r="B61" s="68"/>
      <c r="C61" s="68"/>
      <c r="D61" s="68"/>
      <c r="E61" s="68"/>
      <c r="F61" s="68"/>
      <c r="W61" s="363" t="s">
        <v>140</v>
      </c>
      <c r="X61" s="430">
        <v>12000</v>
      </c>
      <c r="Y61" s="430">
        <v>13418</v>
      </c>
      <c r="Z61" s="431">
        <f t="shared" ref="Z61:Z62" si="21">X61/Y61</f>
        <v>0.89432106126099264</v>
      </c>
      <c r="AA61" s="430">
        <v>17214</v>
      </c>
      <c r="AB61" s="364">
        <f t="shared" ref="AB61:AB62" si="22">Z61*AA61</f>
        <v>15394.842748546727</v>
      </c>
      <c r="AC61" s="432">
        <f>AB61-X61</f>
        <v>3394.8427485467273</v>
      </c>
      <c r="AH61" s="75"/>
      <c r="AI61" s="75"/>
      <c r="AJ61" s="419"/>
    </row>
    <row r="62" spans="1:37" ht="17.25" thickBot="1" x14ac:dyDescent="0.35">
      <c r="W62" s="249" t="s">
        <v>213</v>
      </c>
      <c r="X62" s="433">
        <f>6300+700+700</f>
        <v>7700</v>
      </c>
      <c r="Y62" s="433">
        <v>13898</v>
      </c>
      <c r="Z62" s="434">
        <f t="shared" si="21"/>
        <v>0.55403655202187363</v>
      </c>
      <c r="AA62" s="433">
        <v>12941</v>
      </c>
      <c r="AB62" s="435">
        <f t="shared" si="22"/>
        <v>7169.7870197150669</v>
      </c>
      <c r="AC62" s="436">
        <f>AB62-X62</f>
        <v>-530.21298028493311</v>
      </c>
      <c r="AH62" s="75"/>
      <c r="AI62" s="75"/>
      <c r="AJ62" s="419"/>
    </row>
    <row r="63" spans="1:37" ht="17.25" thickBot="1" x14ac:dyDescent="0.35">
      <c r="AB63" s="437" t="s">
        <v>217</v>
      </c>
      <c r="AC63" s="438">
        <f>SUM(AC60:AC62)</f>
        <v>2970.0539118180741</v>
      </c>
    </row>
    <row r="64" spans="1:37" x14ac:dyDescent="0.3">
      <c r="W64" s="439" t="s">
        <v>283</v>
      </c>
      <c r="X64" s="439"/>
      <c r="Y64" s="439"/>
      <c r="Z64" s="439"/>
      <c r="AA64" s="439"/>
      <c r="AB64" s="439"/>
      <c r="AC64" s="439"/>
    </row>
    <row r="65" spans="23:33" x14ac:dyDescent="0.3">
      <c r="W65" s="440"/>
      <c r="X65" s="440"/>
      <c r="Y65" s="440"/>
      <c r="Z65" s="440"/>
      <c r="AA65" s="440"/>
      <c r="AB65" s="440"/>
      <c r="AC65" s="440"/>
      <c r="AG65" s="210"/>
    </row>
  </sheetData>
  <mergeCells count="15">
    <mergeCell ref="W64:AC64"/>
    <mergeCell ref="T58:U58"/>
    <mergeCell ref="T60:U60"/>
    <mergeCell ref="W58:AC58"/>
    <mergeCell ref="A3:A18"/>
    <mergeCell ref="A19:A20"/>
    <mergeCell ref="A21:A23"/>
    <mergeCell ref="A24:A26"/>
    <mergeCell ref="A27:A32"/>
    <mergeCell ref="A33:A40"/>
    <mergeCell ref="A1:AH1"/>
    <mergeCell ref="A41:A44"/>
    <mergeCell ref="A45:A46"/>
    <mergeCell ref="A49:A54"/>
    <mergeCell ref="B33:C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R40"/>
  <sheetViews>
    <sheetView workbookViewId="0">
      <selection activeCell="R28" sqref="R28"/>
    </sheetView>
  </sheetViews>
  <sheetFormatPr defaultColWidth="8.85546875" defaultRowHeight="16.5" x14ac:dyDescent="0.25"/>
  <cols>
    <col min="1" max="1" width="3.7109375" style="25" customWidth="1"/>
    <col min="2" max="18" width="12.7109375" style="25" customWidth="1"/>
    <col min="19" max="16384" width="8.85546875" style="25"/>
  </cols>
  <sheetData>
    <row r="1" spans="2:18" s="51" customFormat="1" x14ac:dyDescent="0.25"/>
    <row r="2" spans="2:18" s="314" customFormat="1" ht="34.5" customHeight="1" thickBot="1" x14ac:dyDescent="0.3">
      <c r="B2" s="185" t="s">
        <v>235</v>
      </c>
      <c r="C2" s="185"/>
      <c r="D2" s="185"/>
      <c r="E2" s="185"/>
      <c r="G2" s="186" t="s">
        <v>236</v>
      </c>
      <c r="H2" s="186"/>
      <c r="I2" s="186"/>
      <c r="J2" s="186"/>
      <c r="L2" s="185" t="s">
        <v>237</v>
      </c>
      <c r="M2" s="185"/>
      <c r="N2" s="185"/>
      <c r="O2" s="185"/>
      <c r="Q2" s="186" t="s">
        <v>265</v>
      </c>
      <c r="R2" s="186"/>
    </row>
    <row r="3" spans="2:18" s="2" customFormat="1" ht="83.25" thickBot="1" x14ac:dyDescent="0.3">
      <c r="B3" s="24" t="s">
        <v>19</v>
      </c>
      <c r="C3" s="26" t="s">
        <v>223</v>
      </c>
      <c r="D3" s="26" t="s">
        <v>232</v>
      </c>
      <c r="E3" s="27" t="s">
        <v>47</v>
      </c>
      <c r="F3" s="35"/>
      <c r="G3" s="24" t="s">
        <v>19</v>
      </c>
      <c r="H3" s="44" t="s">
        <v>50</v>
      </c>
      <c r="I3" s="26" t="s">
        <v>51</v>
      </c>
      <c r="J3" s="27" t="s">
        <v>53</v>
      </c>
      <c r="K3" s="35"/>
      <c r="L3" s="24" t="s">
        <v>19</v>
      </c>
      <c r="M3" s="44" t="s">
        <v>48</v>
      </c>
      <c r="N3" s="26" t="s">
        <v>52</v>
      </c>
      <c r="O3" s="27" t="s">
        <v>54</v>
      </c>
      <c r="P3" s="35"/>
      <c r="Q3" s="24" t="s">
        <v>19</v>
      </c>
      <c r="R3" s="66" t="s">
        <v>46</v>
      </c>
    </row>
    <row r="4" spans="2:18" ht="14.1" customHeight="1" x14ac:dyDescent="0.25">
      <c r="B4" s="28">
        <v>2017</v>
      </c>
      <c r="C4" s="129" t="s">
        <v>60</v>
      </c>
      <c r="D4" s="130"/>
      <c r="E4" s="131"/>
      <c r="F4" s="57"/>
      <c r="G4" s="28">
        <v>2017</v>
      </c>
      <c r="H4" s="129" t="s">
        <v>60</v>
      </c>
      <c r="I4" s="130"/>
      <c r="J4" s="131"/>
      <c r="K4" s="57"/>
      <c r="L4" s="28">
        <v>2017</v>
      </c>
      <c r="M4" s="129" t="s">
        <v>60</v>
      </c>
      <c r="N4" s="130"/>
      <c r="O4" s="131"/>
      <c r="P4" s="57"/>
      <c r="Q4" s="28">
        <v>2017</v>
      </c>
      <c r="R4" s="64">
        <f t="shared" ref="R4:R28" si="0">SUM(J4,O4)</f>
        <v>0</v>
      </c>
    </row>
    <row r="5" spans="2:18" ht="14.1" customHeight="1" x14ac:dyDescent="0.25">
      <c r="B5" s="29">
        <v>2018</v>
      </c>
      <c r="C5" s="132"/>
      <c r="D5" s="133"/>
      <c r="E5" s="134"/>
      <c r="F5" s="57"/>
      <c r="G5" s="29">
        <v>2018</v>
      </c>
      <c r="H5" s="132"/>
      <c r="I5" s="133"/>
      <c r="J5" s="134"/>
      <c r="K5" s="57"/>
      <c r="L5" s="29">
        <v>2018</v>
      </c>
      <c r="M5" s="132"/>
      <c r="N5" s="133"/>
      <c r="O5" s="134"/>
      <c r="P5" s="57"/>
      <c r="Q5" s="29">
        <v>2018</v>
      </c>
      <c r="R5" s="65">
        <f t="shared" si="0"/>
        <v>0</v>
      </c>
    </row>
    <row r="6" spans="2:18" ht="14.1" customHeight="1" x14ac:dyDescent="0.25">
      <c r="B6" s="29">
        <v>2019</v>
      </c>
      <c r="C6" s="132"/>
      <c r="D6" s="133"/>
      <c r="E6" s="134"/>
      <c r="F6" s="57"/>
      <c r="G6" s="29">
        <v>2019</v>
      </c>
      <c r="H6" s="132"/>
      <c r="I6" s="133"/>
      <c r="J6" s="134"/>
      <c r="K6" s="57"/>
      <c r="L6" s="29">
        <v>2019</v>
      </c>
      <c r="M6" s="132"/>
      <c r="N6" s="133"/>
      <c r="O6" s="134"/>
      <c r="P6" s="57"/>
      <c r="Q6" s="29">
        <v>2019</v>
      </c>
      <c r="R6" s="65">
        <f t="shared" si="0"/>
        <v>0</v>
      </c>
    </row>
    <row r="7" spans="2:18" ht="14.1" customHeight="1" x14ac:dyDescent="0.25">
      <c r="B7" s="29">
        <v>2020</v>
      </c>
      <c r="C7" s="132"/>
      <c r="D7" s="133"/>
      <c r="E7" s="134"/>
      <c r="F7" s="57"/>
      <c r="G7" s="29">
        <v>2020</v>
      </c>
      <c r="H7" s="132"/>
      <c r="I7" s="133"/>
      <c r="J7" s="134"/>
      <c r="K7" s="57"/>
      <c r="L7" s="29">
        <v>2020</v>
      </c>
      <c r="M7" s="132"/>
      <c r="N7" s="133"/>
      <c r="O7" s="134"/>
      <c r="P7" s="57"/>
      <c r="Q7" s="29">
        <v>2020</v>
      </c>
      <c r="R7" s="65">
        <f t="shared" si="0"/>
        <v>0</v>
      </c>
    </row>
    <row r="8" spans="2:18" ht="14.1" customHeight="1" x14ac:dyDescent="0.25">
      <c r="B8" s="29">
        <v>2021</v>
      </c>
      <c r="C8" s="135"/>
      <c r="D8" s="136"/>
      <c r="E8" s="137"/>
      <c r="F8" s="57"/>
      <c r="G8" s="29">
        <v>2021</v>
      </c>
      <c r="H8" s="135"/>
      <c r="I8" s="136"/>
      <c r="J8" s="137"/>
      <c r="K8" s="57"/>
      <c r="L8" s="29">
        <v>2021</v>
      </c>
      <c r="M8" s="135"/>
      <c r="N8" s="136"/>
      <c r="O8" s="137"/>
      <c r="P8" s="57"/>
      <c r="Q8" s="29">
        <v>2021</v>
      </c>
      <c r="R8" s="65">
        <f t="shared" si="0"/>
        <v>0</v>
      </c>
    </row>
    <row r="9" spans="2:18" ht="14.1" customHeight="1" x14ac:dyDescent="0.25">
      <c r="B9" s="29">
        <v>2022</v>
      </c>
      <c r="C9" s="30">
        <f>SUM(Traffic!T3:T55)*365</f>
        <v>10077431.609538894</v>
      </c>
      <c r="D9" s="30">
        <f>SUM(Traffic!AG3:AG55)*365</f>
        <v>9745716.034150105</v>
      </c>
      <c r="E9" s="31">
        <f>C9-D9</f>
        <v>331715.57538878918</v>
      </c>
      <c r="F9" s="57"/>
      <c r="G9" s="29">
        <v>2022</v>
      </c>
      <c r="H9" s="62">
        <f t="shared" ref="H9:H28" si="1">E9*(1-$E$36)</f>
        <v>325081.26388101338</v>
      </c>
      <c r="I9" s="30">
        <f t="shared" ref="I9:I28" si="2">H9*$E$37</f>
        <v>451862.95679460856</v>
      </c>
      <c r="J9" s="219">
        <f t="shared" ref="J9:J28" si="3">I9*$E$39</f>
        <v>6371267.6908039805</v>
      </c>
      <c r="K9" s="61"/>
      <c r="L9" s="29">
        <v>2022</v>
      </c>
      <c r="M9" s="62">
        <f t="shared" ref="M9:M28" si="4">E9*$E$36</f>
        <v>6634.3115077757839</v>
      </c>
      <c r="N9" s="30">
        <f t="shared" ref="N9:N28" si="5">M9*$E$38</f>
        <v>6634.3115077757839</v>
      </c>
      <c r="O9" s="219">
        <f t="shared" ref="O9:O28" si="6">N9*$E$40</f>
        <v>180453.27301150133</v>
      </c>
      <c r="P9" s="61"/>
      <c r="Q9" s="29">
        <v>2022</v>
      </c>
      <c r="R9" s="221">
        <f t="shared" si="0"/>
        <v>6551720.9638154814</v>
      </c>
    </row>
    <row r="10" spans="2:18" ht="14.1" customHeight="1" x14ac:dyDescent="0.25">
      <c r="B10" s="29">
        <v>2023</v>
      </c>
      <c r="C10" s="30">
        <f>($C$28-$C$9)/19+C9</f>
        <v>10166486.763093894</v>
      </c>
      <c r="D10" s="30">
        <f>($D$28-$D$9)/19+D9</f>
        <v>9834000.1818198115</v>
      </c>
      <c r="E10" s="31">
        <f t="shared" ref="E10:E28" si="7">C10-D10</f>
        <v>332486.58127408288</v>
      </c>
      <c r="F10" s="57"/>
      <c r="G10" s="29">
        <v>2023</v>
      </c>
      <c r="H10" s="62">
        <f t="shared" si="1"/>
        <v>325836.8496486012</v>
      </c>
      <c r="I10" s="30">
        <f t="shared" si="2"/>
        <v>452913.22101155564</v>
      </c>
      <c r="J10" s="219">
        <f t="shared" si="3"/>
        <v>6386076.416262934</v>
      </c>
      <c r="K10" s="61"/>
      <c r="L10" s="29">
        <v>2023</v>
      </c>
      <c r="M10" s="62">
        <f t="shared" si="4"/>
        <v>6649.7316254816578</v>
      </c>
      <c r="N10" s="30">
        <f t="shared" si="5"/>
        <v>6649.7316254816578</v>
      </c>
      <c r="O10" s="219">
        <f t="shared" si="6"/>
        <v>180872.70021310108</v>
      </c>
      <c r="P10" s="61"/>
      <c r="Q10" s="29">
        <v>2023</v>
      </c>
      <c r="R10" s="221">
        <f t="shared" si="0"/>
        <v>6566949.1164760347</v>
      </c>
    </row>
    <row r="11" spans="2:18" ht="14.1" customHeight="1" x14ac:dyDescent="0.25">
      <c r="B11" s="29">
        <v>2024</v>
      </c>
      <c r="C11" s="30">
        <f t="shared" ref="C11:C27" si="8">($C$28-$C$9)/19+C10</f>
        <v>10255541.916648895</v>
      </c>
      <c r="D11" s="30">
        <f t="shared" ref="D11:D27" si="9">($D$28-$D$9)/19+D10</f>
        <v>9922284.329489518</v>
      </c>
      <c r="E11" s="31">
        <f t="shared" si="7"/>
        <v>333257.58715937659</v>
      </c>
      <c r="F11" s="57"/>
      <c r="G11" s="29">
        <v>2024</v>
      </c>
      <c r="H11" s="62">
        <f t="shared" si="1"/>
        <v>326592.43541618908</v>
      </c>
      <c r="I11" s="30">
        <f t="shared" si="2"/>
        <v>453963.48522850277</v>
      </c>
      <c r="J11" s="219">
        <f t="shared" si="3"/>
        <v>6400885.1417218894</v>
      </c>
      <c r="K11" s="61"/>
      <c r="L11" s="29">
        <v>2024</v>
      </c>
      <c r="M11" s="62">
        <f t="shared" si="4"/>
        <v>6665.1517431875318</v>
      </c>
      <c r="N11" s="30">
        <f t="shared" si="5"/>
        <v>6665.1517431875318</v>
      </c>
      <c r="O11" s="219">
        <f t="shared" si="6"/>
        <v>181292.12741470087</v>
      </c>
      <c r="P11" s="61"/>
      <c r="Q11" s="29">
        <v>2024</v>
      </c>
      <c r="R11" s="221">
        <f t="shared" si="0"/>
        <v>6582177.26913659</v>
      </c>
    </row>
    <row r="12" spans="2:18" ht="14.1" customHeight="1" x14ac:dyDescent="0.25">
      <c r="B12" s="29">
        <v>2025</v>
      </c>
      <c r="C12" s="30">
        <f t="shared" si="8"/>
        <v>10344597.070203895</v>
      </c>
      <c r="D12" s="30">
        <f t="shared" si="9"/>
        <v>10010568.477159224</v>
      </c>
      <c r="E12" s="31">
        <f>C12-D12</f>
        <v>334028.5930446703</v>
      </c>
      <c r="F12" s="57"/>
      <c r="G12" s="29">
        <v>2025</v>
      </c>
      <c r="H12" s="62">
        <f t="shared" si="1"/>
        <v>327348.0211837769</v>
      </c>
      <c r="I12" s="30">
        <f t="shared" si="2"/>
        <v>455013.74944544985</v>
      </c>
      <c r="J12" s="219">
        <f t="shared" si="3"/>
        <v>6415693.8671808429</v>
      </c>
      <c r="K12" s="61"/>
      <c r="L12" s="29">
        <v>2025</v>
      </c>
      <c r="M12" s="62">
        <f t="shared" si="4"/>
        <v>6680.5718608934058</v>
      </c>
      <c r="N12" s="30">
        <f t="shared" si="5"/>
        <v>6680.5718608934058</v>
      </c>
      <c r="O12" s="219">
        <f t="shared" si="6"/>
        <v>181711.55461630062</v>
      </c>
      <c r="P12" s="61"/>
      <c r="Q12" s="29">
        <v>2025</v>
      </c>
      <c r="R12" s="221">
        <f t="shared" si="0"/>
        <v>6597405.4217971433</v>
      </c>
    </row>
    <row r="13" spans="2:18" ht="14.1" customHeight="1" x14ac:dyDescent="0.25">
      <c r="B13" s="29">
        <v>2026</v>
      </c>
      <c r="C13" s="30">
        <f t="shared" si="8"/>
        <v>10433652.223758895</v>
      </c>
      <c r="D13" s="30">
        <f t="shared" si="9"/>
        <v>10098852.624828931</v>
      </c>
      <c r="E13" s="31">
        <f t="shared" si="7"/>
        <v>334799.59892996401</v>
      </c>
      <c r="F13" s="57"/>
      <c r="G13" s="29">
        <v>2026</v>
      </c>
      <c r="H13" s="62">
        <f t="shared" si="1"/>
        <v>328103.60695136472</v>
      </c>
      <c r="I13" s="30">
        <f t="shared" si="2"/>
        <v>456064.01366239693</v>
      </c>
      <c r="J13" s="219">
        <f t="shared" si="3"/>
        <v>6430502.5926397964</v>
      </c>
      <c r="K13" s="61"/>
      <c r="L13" s="29">
        <v>2026</v>
      </c>
      <c r="M13" s="62">
        <f t="shared" si="4"/>
        <v>6695.9919785992806</v>
      </c>
      <c r="N13" s="30">
        <f t="shared" si="5"/>
        <v>6695.9919785992806</v>
      </c>
      <c r="O13" s="219">
        <f t="shared" si="6"/>
        <v>182130.98181790044</v>
      </c>
      <c r="P13" s="61"/>
      <c r="Q13" s="29">
        <v>2026</v>
      </c>
      <c r="R13" s="221">
        <f t="shared" si="0"/>
        <v>6612633.5744576966</v>
      </c>
    </row>
    <row r="14" spans="2:18" ht="14.1" customHeight="1" x14ac:dyDescent="0.3">
      <c r="B14" s="29">
        <v>2027</v>
      </c>
      <c r="C14" s="30">
        <f t="shared" si="8"/>
        <v>10522707.377313895</v>
      </c>
      <c r="D14" s="30">
        <f t="shared" si="9"/>
        <v>10187136.772498637</v>
      </c>
      <c r="E14" s="31">
        <f t="shared" si="7"/>
        <v>335570.60481525771</v>
      </c>
      <c r="F14" s="57"/>
      <c r="G14" s="29">
        <v>2027</v>
      </c>
      <c r="H14" s="62">
        <f t="shared" si="1"/>
        <v>328859.19271895254</v>
      </c>
      <c r="I14" s="30">
        <f t="shared" si="2"/>
        <v>457114.27787934401</v>
      </c>
      <c r="J14" s="219">
        <f t="shared" si="3"/>
        <v>6445311.31809875</v>
      </c>
      <c r="K14" s="61"/>
      <c r="L14" s="29">
        <v>2027</v>
      </c>
      <c r="M14" s="62">
        <f t="shared" si="4"/>
        <v>6711.4120963051546</v>
      </c>
      <c r="N14" s="30">
        <f t="shared" si="5"/>
        <v>6711.4120963051546</v>
      </c>
      <c r="O14" s="219">
        <f t="shared" si="6"/>
        <v>182550.40901950019</v>
      </c>
      <c r="P14" s="61"/>
      <c r="Q14" s="29">
        <v>2027</v>
      </c>
      <c r="R14" s="221">
        <f t="shared" si="0"/>
        <v>6627861.72711825</v>
      </c>
    </row>
    <row r="15" spans="2:18" ht="14.1" customHeight="1" x14ac:dyDescent="0.3">
      <c r="B15" s="29">
        <v>2028</v>
      </c>
      <c r="C15" s="30">
        <f t="shared" si="8"/>
        <v>10611762.530868895</v>
      </c>
      <c r="D15" s="30">
        <f t="shared" si="9"/>
        <v>10275420.920168344</v>
      </c>
      <c r="E15" s="31">
        <f t="shared" si="7"/>
        <v>336341.61070055142</v>
      </c>
      <c r="F15" s="57"/>
      <c r="G15" s="29">
        <v>2028</v>
      </c>
      <c r="H15" s="62">
        <f t="shared" si="1"/>
        <v>329614.77848654037</v>
      </c>
      <c r="I15" s="30">
        <f t="shared" si="2"/>
        <v>458164.54209629109</v>
      </c>
      <c r="J15" s="219">
        <f t="shared" si="3"/>
        <v>6460120.0435577044</v>
      </c>
      <c r="K15" s="61"/>
      <c r="L15" s="29">
        <v>2028</v>
      </c>
      <c r="M15" s="62">
        <f t="shared" si="4"/>
        <v>6726.8322140110286</v>
      </c>
      <c r="N15" s="30">
        <f t="shared" si="5"/>
        <v>6726.8322140110286</v>
      </c>
      <c r="O15" s="219">
        <f t="shared" si="6"/>
        <v>182969.83622109998</v>
      </c>
      <c r="P15" s="61"/>
      <c r="Q15" s="29">
        <v>2028</v>
      </c>
      <c r="R15" s="221">
        <f t="shared" si="0"/>
        <v>6643089.8797788043</v>
      </c>
    </row>
    <row r="16" spans="2:18" ht="14.1" customHeight="1" x14ac:dyDescent="0.3">
      <c r="B16" s="29">
        <v>2029</v>
      </c>
      <c r="C16" s="30">
        <f t="shared" si="8"/>
        <v>10700817.684423896</v>
      </c>
      <c r="D16" s="30">
        <f t="shared" si="9"/>
        <v>10363705.06783805</v>
      </c>
      <c r="E16" s="31">
        <f t="shared" si="7"/>
        <v>337112.61658584513</v>
      </c>
      <c r="F16" s="57"/>
      <c r="G16" s="29">
        <v>2029</v>
      </c>
      <c r="H16" s="62">
        <f t="shared" si="1"/>
        <v>330370.36425412825</v>
      </c>
      <c r="I16" s="30">
        <f t="shared" si="2"/>
        <v>459214.80631323822</v>
      </c>
      <c r="J16" s="219">
        <f t="shared" si="3"/>
        <v>6474928.7690166589</v>
      </c>
      <c r="K16" s="61"/>
      <c r="L16" s="29">
        <v>2029</v>
      </c>
      <c r="M16" s="62">
        <f t="shared" si="4"/>
        <v>6742.2523317169025</v>
      </c>
      <c r="N16" s="30">
        <f t="shared" si="5"/>
        <v>6742.2523317169025</v>
      </c>
      <c r="O16" s="219">
        <f t="shared" si="6"/>
        <v>183389.26342269973</v>
      </c>
      <c r="P16" s="61"/>
      <c r="Q16" s="29">
        <v>2029</v>
      </c>
      <c r="R16" s="221">
        <f t="shared" si="0"/>
        <v>6658318.0324393585</v>
      </c>
    </row>
    <row r="17" spans="2:18" ht="14.1" customHeight="1" x14ac:dyDescent="0.3">
      <c r="B17" s="29">
        <v>2030</v>
      </c>
      <c r="C17" s="30">
        <f t="shared" si="8"/>
        <v>10789872.837978896</v>
      </c>
      <c r="D17" s="30">
        <f t="shared" si="9"/>
        <v>10451989.215507757</v>
      </c>
      <c r="E17" s="31">
        <f t="shared" si="7"/>
        <v>337883.62247113883</v>
      </c>
      <c r="F17" s="57"/>
      <c r="G17" s="29">
        <v>2030</v>
      </c>
      <c r="H17" s="62">
        <f t="shared" si="1"/>
        <v>331125.95002171607</v>
      </c>
      <c r="I17" s="30">
        <f t="shared" si="2"/>
        <v>460265.0705301853</v>
      </c>
      <c r="J17" s="219">
        <f t="shared" si="3"/>
        <v>6489737.4944756124</v>
      </c>
      <c r="K17" s="61"/>
      <c r="L17" s="29">
        <v>2030</v>
      </c>
      <c r="M17" s="62">
        <f t="shared" si="4"/>
        <v>6757.6724494227765</v>
      </c>
      <c r="N17" s="30">
        <f t="shared" si="5"/>
        <v>6757.6724494227765</v>
      </c>
      <c r="O17" s="219">
        <f t="shared" si="6"/>
        <v>183808.69062429952</v>
      </c>
      <c r="P17" s="61"/>
      <c r="Q17" s="29">
        <v>2030</v>
      </c>
      <c r="R17" s="221">
        <f t="shared" si="0"/>
        <v>6673546.1850999119</v>
      </c>
    </row>
    <row r="18" spans="2:18" ht="14.1" customHeight="1" x14ac:dyDescent="0.3">
      <c r="B18" s="29">
        <v>2031</v>
      </c>
      <c r="C18" s="30">
        <f t="shared" si="8"/>
        <v>10878927.991533896</v>
      </c>
      <c r="D18" s="30">
        <f t="shared" si="9"/>
        <v>10540273.363177463</v>
      </c>
      <c r="E18" s="31">
        <f t="shared" si="7"/>
        <v>338654.62835643254</v>
      </c>
      <c r="F18" s="57"/>
      <c r="G18" s="29">
        <v>2031</v>
      </c>
      <c r="H18" s="62">
        <f t="shared" si="1"/>
        <v>331881.53578930389</v>
      </c>
      <c r="I18" s="30">
        <f t="shared" si="2"/>
        <v>461315.33474713238</v>
      </c>
      <c r="J18" s="219">
        <f t="shared" si="3"/>
        <v>6504546.2199345659</v>
      </c>
      <c r="K18" s="61"/>
      <c r="L18" s="29">
        <v>2031</v>
      </c>
      <c r="M18" s="62">
        <f t="shared" si="4"/>
        <v>6773.0925671286514</v>
      </c>
      <c r="N18" s="30">
        <f t="shared" si="5"/>
        <v>6773.0925671286514</v>
      </c>
      <c r="O18" s="219">
        <f t="shared" si="6"/>
        <v>184228.1178258993</v>
      </c>
      <c r="P18" s="61"/>
      <c r="Q18" s="29">
        <v>2031</v>
      </c>
      <c r="R18" s="221">
        <f t="shared" si="0"/>
        <v>6688774.3377604652</v>
      </c>
    </row>
    <row r="19" spans="2:18" ht="14.1" customHeight="1" x14ac:dyDescent="0.3">
      <c r="B19" s="29">
        <v>2032</v>
      </c>
      <c r="C19" s="30">
        <f t="shared" si="8"/>
        <v>10967983.145088896</v>
      </c>
      <c r="D19" s="30">
        <f t="shared" si="9"/>
        <v>10628557.51084717</v>
      </c>
      <c r="E19" s="31">
        <f t="shared" si="7"/>
        <v>339425.63424172625</v>
      </c>
      <c r="F19" s="57"/>
      <c r="G19" s="29">
        <v>2032</v>
      </c>
      <c r="H19" s="62">
        <f t="shared" si="1"/>
        <v>332637.12155689171</v>
      </c>
      <c r="I19" s="30">
        <f t="shared" si="2"/>
        <v>462365.59896407946</v>
      </c>
      <c r="J19" s="219">
        <f t="shared" si="3"/>
        <v>6519354.9453935204</v>
      </c>
      <c r="K19" s="61"/>
      <c r="L19" s="29">
        <v>2032</v>
      </c>
      <c r="M19" s="62">
        <f t="shared" si="4"/>
        <v>6788.5126848345253</v>
      </c>
      <c r="N19" s="30">
        <f t="shared" si="5"/>
        <v>6788.5126848345253</v>
      </c>
      <c r="O19" s="219">
        <f t="shared" si="6"/>
        <v>184647.54502749909</v>
      </c>
      <c r="P19" s="61"/>
      <c r="Q19" s="29">
        <v>2032</v>
      </c>
      <c r="R19" s="221">
        <f t="shared" si="0"/>
        <v>6704002.4904210195</v>
      </c>
    </row>
    <row r="20" spans="2:18" ht="14.1" customHeight="1" x14ac:dyDescent="0.3">
      <c r="B20" s="29">
        <v>2033</v>
      </c>
      <c r="C20" s="30">
        <f t="shared" si="8"/>
        <v>11057038.298643896</v>
      </c>
      <c r="D20" s="30">
        <f t="shared" si="9"/>
        <v>10716841.658516876</v>
      </c>
      <c r="E20" s="31">
        <f t="shared" si="7"/>
        <v>340196.64012701996</v>
      </c>
      <c r="F20" s="57"/>
      <c r="G20" s="29">
        <v>2033</v>
      </c>
      <c r="H20" s="62">
        <f t="shared" si="1"/>
        <v>333392.70732447953</v>
      </c>
      <c r="I20" s="30">
        <f t="shared" si="2"/>
        <v>463415.86318102654</v>
      </c>
      <c r="J20" s="219">
        <f t="shared" si="3"/>
        <v>6534163.6708524739</v>
      </c>
      <c r="K20" s="61"/>
      <c r="L20" s="29">
        <v>2033</v>
      </c>
      <c r="M20" s="62">
        <f t="shared" si="4"/>
        <v>6803.9328025403993</v>
      </c>
      <c r="N20" s="30">
        <f t="shared" si="5"/>
        <v>6803.9328025403993</v>
      </c>
      <c r="O20" s="219">
        <f t="shared" si="6"/>
        <v>185066.97222909884</v>
      </c>
      <c r="P20" s="61"/>
      <c r="Q20" s="29">
        <v>2033</v>
      </c>
      <c r="R20" s="221">
        <f t="shared" si="0"/>
        <v>6719230.6430815728</v>
      </c>
    </row>
    <row r="21" spans="2:18" ht="14.1" customHeight="1" x14ac:dyDescent="0.3">
      <c r="B21" s="29">
        <v>2034</v>
      </c>
      <c r="C21" s="30">
        <f t="shared" si="8"/>
        <v>11146093.452198897</v>
      </c>
      <c r="D21" s="30">
        <f t="shared" si="9"/>
        <v>10805125.806186583</v>
      </c>
      <c r="E21" s="31">
        <f t="shared" si="7"/>
        <v>340967.64601231366</v>
      </c>
      <c r="F21" s="57"/>
      <c r="G21" s="29">
        <v>2034</v>
      </c>
      <c r="H21" s="62">
        <f t="shared" si="1"/>
        <v>334148.29309206741</v>
      </c>
      <c r="I21" s="30">
        <f t="shared" si="2"/>
        <v>464466.12739797367</v>
      </c>
      <c r="J21" s="219">
        <f t="shared" si="3"/>
        <v>6548972.3963114284</v>
      </c>
      <c r="K21" s="61"/>
      <c r="L21" s="29">
        <v>2034</v>
      </c>
      <c r="M21" s="62">
        <f t="shared" si="4"/>
        <v>6819.3529202462732</v>
      </c>
      <c r="N21" s="30">
        <f t="shared" si="5"/>
        <v>6819.3529202462732</v>
      </c>
      <c r="O21" s="219">
        <f t="shared" si="6"/>
        <v>185486.39943069863</v>
      </c>
      <c r="P21" s="61"/>
      <c r="Q21" s="29">
        <v>2034</v>
      </c>
      <c r="R21" s="221">
        <f t="shared" si="0"/>
        <v>6734458.7957421271</v>
      </c>
    </row>
    <row r="22" spans="2:18" ht="14.1" customHeight="1" x14ac:dyDescent="0.3">
      <c r="B22" s="29">
        <v>2035</v>
      </c>
      <c r="C22" s="30">
        <f t="shared" si="8"/>
        <v>11235148.605753897</v>
      </c>
      <c r="D22" s="30">
        <f t="shared" si="9"/>
        <v>10893409.953856289</v>
      </c>
      <c r="E22" s="31">
        <f t="shared" si="7"/>
        <v>341738.65189760737</v>
      </c>
      <c r="F22" s="57"/>
      <c r="G22" s="29">
        <v>2035</v>
      </c>
      <c r="H22" s="62">
        <f t="shared" si="1"/>
        <v>334903.87885965523</v>
      </c>
      <c r="I22" s="30">
        <f t="shared" si="2"/>
        <v>465516.39161492075</v>
      </c>
      <c r="J22" s="219">
        <f t="shared" si="3"/>
        <v>6563781.1217703829</v>
      </c>
      <c r="K22" s="61"/>
      <c r="L22" s="29">
        <v>2035</v>
      </c>
      <c r="M22" s="62">
        <f t="shared" si="4"/>
        <v>6834.7730379521472</v>
      </c>
      <c r="N22" s="30">
        <f t="shared" si="5"/>
        <v>6834.7730379521472</v>
      </c>
      <c r="O22" s="219">
        <f t="shared" si="6"/>
        <v>185905.82663229841</v>
      </c>
      <c r="P22" s="61"/>
      <c r="Q22" s="29">
        <v>2035</v>
      </c>
      <c r="R22" s="221">
        <f t="shared" si="0"/>
        <v>6749686.9484026814</v>
      </c>
    </row>
    <row r="23" spans="2:18" ht="14.1" customHeight="1" x14ac:dyDescent="0.3">
      <c r="B23" s="29">
        <v>2036</v>
      </c>
      <c r="C23" s="30">
        <f t="shared" si="8"/>
        <v>11324203.759308897</v>
      </c>
      <c r="D23" s="30">
        <f t="shared" si="9"/>
        <v>10981694.101525996</v>
      </c>
      <c r="E23" s="31">
        <f t="shared" si="7"/>
        <v>342509.65778290108</v>
      </c>
      <c r="F23" s="57"/>
      <c r="G23" s="29">
        <v>2036</v>
      </c>
      <c r="H23" s="62">
        <f t="shared" si="1"/>
        <v>335659.46462724305</v>
      </c>
      <c r="I23" s="30">
        <f t="shared" si="2"/>
        <v>466566.65583186783</v>
      </c>
      <c r="J23" s="219">
        <f t="shared" si="3"/>
        <v>6578589.8472293364</v>
      </c>
      <c r="K23" s="61"/>
      <c r="L23" s="29">
        <v>2036</v>
      </c>
      <c r="M23" s="62">
        <f t="shared" si="4"/>
        <v>6850.1931556580221</v>
      </c>
      <c r="N23" s="30">
        <f t="shared" si="5"/>
        <v>6850.1931556580221</v>
      </c>
      <c r="O23" s="219">
        <f t="shared" si="6"/>
        <v>186325.2538338982</v>
      </c>
      <c r="P23" s="61"/>
      <c r="Q23" s="29">
        <v>2036</v>
      </c>
      <c r="R23" s="221">
        <f t="shared" si="0"/>
        <v>6764915.1010632347</v>
      </c>
    </row>
    <row r="24" spans="2:18" ht="14.1" customHeight="1" x14ac:dyDescent="0.3">
      <c r="B24" s="29">
        <v>2037</v>
      </c>
      <c r="C24" s="30">
        <f t="shared" si="8"/>
        <v>11413258.912863897</v>
      </c>
      <c r="D24" s="30">
        <f t="shared" si="9"/>
        <v>11069978.249195702</v>
      </c>
      <c r="E24" s="31">
        <f t="shared" si="7"/>
        <v>343280.66366819479</v>
      </c>
      <c r="F24" s="57"/>
      <c r="G24" s="29">
        <v>2037</v>
      </c>
      <c r="H24" s="62">
        <f t="shared" si="1"/>
        <v>336415.05039483088</v>
      </c>
      <c r="I24" s="30">
        <f t="shared" si="2"/>
        <v>467616.92004881491</v>
      </c>
      <c r="J24" s="219">
        <f t="shared" si="3"/>
        <v>6593398.5726882899</v>
      </c>
      <c r="K24" s="61"/>
      <c r="L24" s="29">
        <v>2037</v>
      </c>
      <c r="M24" s="62">
        <f t="shared" si="4"/>
        <v>6865.613273363896</v>
      </c>
      <c r="N24" s="30">
        <f t="shared" si="5"/>
        <v>6865.613273363896</v>
      </c>
      <c r="O24" s="219">
        <f t="shared" si="6"/>
        <v>186744.68103549795</v>
      </c>
      <c r="P24" s="61"/>
      <c r="Q24" s="29">
        <v>2037</v>
      </c>
      <c r="R24" s="221">
        <f t="shared" si="0"/>
        <v>6780143.2537237881</v>
      </c>
    </row>
    <row r="25" spans="2:18" ht="14.1" customHeight="1" x14ac:dyDescent="0.3">
      <c r="B25" s="29">
        <v>2038</v>
      </c>
      <c r="C25" s="30">
        <f t="shared" si="8"/>
        <v>11502314.066418897</v>
      </c>
      <c r="D25" s="30">
        <f t="shared" si="9"/>
        <v>11158262.396865409</v>
      </c>
      <c r="E25" s="31">
        <f t="shared" si="7"/>
        <v>344051.66955348849</v>
      </c>
      <c r="F25" s="57"/>
      <c r="G25" s="29">
        <v>2038</v>
      </c>
      <c r="H25" s="62">
        <f t="shared" si="1"/>
        <v>337170.6361624187</v>
      </c>
      <c r="I25" s="30">
        <f t="shared" si="2"/>
        <v>468667.18426576199</v>
      </c>
      <c r="J25" s="219">
        <f t="shared" si="3"/>
        <v>6608207.2981472434</v>
      </c>
      <c r="K25" s="61"/>
      <c r="L25" s="29">
        <v>2038</v>
      </c>
      <c r="M25" s="62">
        <f t="shared" si="4"/>
        <v>6881.03339106977</v>
      </c>
      <c r="N25" s="30">
        <f t="shared" si="5"/>
        <v>6881.03339106977</v>
      </c>
      <c r="O25" s="219">
        <f t="shared" si="6"/>
        <v>187164.10823709774</v>
      </c>
      <c r="P25" s="61"/>
      <c r="Q25" s="29">
        <v>2038</v>
      </c>
      <c r="R25" s="221">
        <f t="shared" si="0"/>
        <v>6795371.4063843414</v>
      </c>
    </row>
    <row r="26" spans="2:18" ht="14.1" customHeight="1" x14ac:dyDescent="0.3">
      <c r="B26" s="29">
        <v>2039</v>
      </c>
      <c r="C26" s="30">
        <f t="shared" si="8"/>
        <v>11591369.219973898</v>
      </c>
      <c r="D26" s="30">
        <f t="shared" si="9"/>
        <v>11246546.544535115</v>
      </c>
      <c r="E26" s="31">
        <f t="shared" si="7"/>
        <v>344822.6754387822</v>
      </c>
      <c r="F26" s="57"/>
      <c r="G26" s="29">
        <v>2039</v>
      </c>
      <c r="H26" s="62">
        <f t="shared" si="1"/>
        <v>337926.22193000658</v>
      </c>
      <c r="I26" s="30">
        <f t="shared" si="2"/>
        <v>469717.44848270912</v>
      </c>
      <c r="J26" s="219">
        <f t="shared" si="3"/>
        <v>6623016.0236061988</v>
      </c>
      <c r="K26" s="61"/>
      <c r="L26" s="29">
        <v>2039</v>
      </c>
      <c r="M26" s="62">
        <f t="shared" si="4"/>
        <v>6896.453508775644</v>
      </c>
      <c r="N26" s="30">
        <f t="shared" si="5"/>
        <v>6896.453508775644</v>
      </c>
      <c r="O26" s="219">
        <f t="shared" si="6"/>
        <v>187583.53543869752</v>
      </c>
      <c r="P26" s="61"/>
      <c r="Q26" s="29">
        <v>2039</v>
      </c>
      <c r="R26" s="221">
        <f t="shared" si="0"/>
        <v>6810599.5590448966</v>
      </c>
    </row>
    <row r="27" spans="2:18" ht="14.1" customHeight="1" x14ac:dyDescent="0.3">
      <c r="B27" s="29">
        <v>2040</v>
      </c>
      <c r="C27" s="30">
        <f t="shared" si="8"/>
        <v>11680424.373528898</v>
      </c>
      <c r="D27" s="30">
        <f t="shared" si="9"/>
        <v>11334830.692204822</v>
      </c>
      <c r="E27" s="31">
        <f t="shared" si="7"/>
        <v>345593.68132407591</v>
      </c>
      <c r="F27" s="57"/>
      <c r="G27" s="29">
        <v>2040</v>
      </c>
      <c r="H27" s="62">
        <f t="shared" si="1"/>
        <v>338681.8076975944</v>
      </c>
      <c r="I27" s="30">
        <f t="shared" si="2"/>
        <v>470767.7126996562</v>
      </c>
      <c r="J27" s="219">
        <f t="shared" si="3"/>
        <v>6637824.7490651524</v>
      </c>
      <c r="K27" s="61"/>
      <c r="L27" s="29">
        <v>2040</v>
      </c>
      <c r="M27" s="62">
        <f t="shared" si="4"/>
        <v>6911.8736264815179</v>
      </c>
      <c r="N27" s="30">
        <f t="shared" si="5"/>
        <v>6911.8736264815179</v>
      </c>
      <c r="O27" s="219">
        <f t="shared" si="6"/>
        <v>188002.96264029728</v>
      </c>
      <c r="P27" s="61"/>
      <c r="Q27" s="29">
        <v>2040</v>
      </c>
      <c r="R27" s="221">
        <f t="shared" si="0"/>
        <v>6825827.71170545</v>
      </c>
    </row>
    <row r="28" spans="2:18" ht="14.1" customHeight="1" thickBot="1" x14ac:dyDescent="0.3">
      <c r="B28" s="32">
        <v>2041</v>
      </c>
      <c r="C28" s="33">
        <f>SUM(Traffic!U3:U55)*365</f>
        <v>11769479.527083883</v>
      </c>
      <c r="D28" s="33">
        <f>SUM(Traffic!AH3:AH55)*365</f>
        <v>11423114.839874532</v>
      </c>
      <c r="E28" s="34">
        <f t="shared" si="7"/>
        <v>346364.68720935099</v>
      </c>
      <c r="F28" s="57"/>
      <c r="G28" s="32">
        <v>2041</v>
      </c>
      <c r="H28" s="63">
        <f t="shared" si="1"/>
        <v>339437.39346516394</v>
      </c>
      <c r="I28" s="33">
        <f t="shared" si="2"/>
        <v>471817.97691657784</v>
      </c>
      <c r="J28" s="220">
        <f t="shared" si="3"/>
        <v>6652633.4745237473</v>
      </c>
      <c r="K28" s="61"/>
      <c r="L28" s="32">
        <v>2041</v>
      </c>
      <c r="M28" s="63">
        <f t="shared" si="4"/>
        <v>6927.2937441870199</v>
      </c>
      <c r="N28" s="33">
        <f t="shared" si="5"/>
        <v>6927.2937441870199</v>
      </c>
      <c r="O28" s="220">
        <f t="shared" si="6"/>
        <v>188422.38984188694</v>
      </c>
      <c r="P28" s="61"/>
      <c r="Q28" s="32">
        <v>2041</v>
      </c>
      <c r="R28" s="222">
        <f t="shared" si="0"/>
        <v>6841055.8643656345</v>
      </c>
    </row>
    <row r="29" spans="2:18" ht="16.5" customHeight="1" x14ac:dyDescent="0.25">
      <c r="B29" s="273" t="s">
        <v>282</v>
      </c>
      <c r="C29" s="273"/>
      <c r="D29" s="273"/>
      <c r="E29" s="273"/>
      <c r="G29" s="294" t="s">
        <v>292</v>
      </c>
      <c r="H29" s="294"/>
      <c r="I29" s="294"/>
      <c r="J29" s="294"/>
      <c r="L29" s="294" t="s">
        <v>293</v>
      </c>
      <c r="M29" s="294"/>
      <c r="N29" s="294"/>
      <c r="O29" s="294"/>
      <c r="Q29" s="336" t="s">
        <v>231</v>
      </c>
      <c r="R29" s="342">
        <f>SUM(R4:R28)</f>
        <v>133927768.28181449</v>
      </c>
    </row>
    <row r="30" spans="2:18" x14ac:dyDescent="0.25">
      <c r="B30" s="360"/>
      <c r="C30" s="360"/>
      <c r="D30" s="360"/>
      <c r="E30" s="360"/>
      <c r="G30" s="295"/>
      <c r="H30" s="295"/>
      <c r="I30" s="295"/>
      <c r="J30" s="295"/>
      <c r="L30" s="295"/>
      <c r="M30" s="295"/>
      <c r="N30" s="295"/>
      <c r="O30" s="295"/>
      <c r="Q30" s="441" t="s">
        <v>287</v>
      </c>
      <c r="R30" s="441"/>
    </row>
    <row r="31" spans="2:18" x14ac:dyDescent="0.25">
      <c r="B31" s="360"/>
      <c r="C31" s="360"/>
      <c r="D31" s="360"/>
      <c r="E31" s="360"/>
      <c r="F31" s="43"/>
      <c r="G31" s="295"/>
      <c r="H31" s="295"/>
      <c r="I31" s="295"/>
      <c r="J31" s="295"/>
      <c r="L31" s="295"/>
      <c r="M31" s="295"/>
      <c r="N31" s="295"/>
      <c r="O31" s="295"/>
      <c r="Q31" s="441"/>
      <c r="R31" s="441"/>
    </row>
    <row r="32" spans="2:18" x14ac:dyDescent="0.25">
      <c r="B32" s="360"/>
      <c r="C32" s="360"/>
      <c r="D32" s="360"/>
      <c r="E32" s="360"/>
      <c r="F32" s="58"/>
    </row>
    <row r="33" spans="2:7" ht="14.45" customHeight="1" x14ac:dyDescent="0.25">
      <c r="B33" s="358"/>
      <c r="C33" s="358"/>
      <c r="D33" s="358"/>
      <c r="E33" s="358"/>
      <c r="F33" s="59"/>
      <c r="G33" s="50"/>
    </row>
    <row r="34" spans="2:7" ht="14.45" customHeight="1" thickBot="1" x14ac:dyDescent="0.3">
      <c r="B34" s="128" t="s">
        <v>241</v>
      </c>
      <c r="C34" s="128"/>
      <c r="D34" s="128"/>
      <c r="E34" s="128"/>
      <c r="F34" s="60"/>
    </row>
    <row r="35" spans="2:7" ht="17.25" thickBot="1" x14ac:dyDescent="0.3">
      <c r="B35" s="126" t="s">
        <v>56</v>
      </c>
      <c r="C35" s="127"/>
      <c r="D35" s="127"/>
      <c r="E35" s="52" t="s">
        <v>57</v>
      </c>
    </row>
    <row r="36" spans="2:7" ht="17.25" thickBot="1" x14ac:dyDescent="0.3">
      <c r="B36" s="145" t="s">
        <v>284</v>
      </c>
      <c r="C36" s="146"/>
      <c r="D36" s="146"/>
      <c r="E36" s="36">
        <v>0.02</v>
      </c>
    </row>
    <row r="37" spans="2:7" x14ac:dyDescent="0.25">
      <c r="B37" s="143" t="s">
        <v>55</v>
      </c>
      <c r="C37" s="144"/>
      <c r="D37" s="144"/>
      <c r="E37" s="53">
        <v>1.39</v>
      </c>
    </row>
    <row r="38" spans="2:7" ht="17.25" thickBot="1" x14ac:dyDescent="0.3">
      <c r="B38" s="141" t="s">
        <v>49</v>
      </c>
      <c r="C38" s="142"/>
      <c r="D38" s="142"/>
      <c r="E38" s="54">
        <v>1</v>
      </c>
    </row>
    <row r="39" spans="2:7" x14ac:dyDescent="0.25">
      <c r="B39" s="138" t="s">
        <v>204</v>
      </c>
      <c r="C39" s="139"/>
      <c r="D39" s="140"/>
      <c r="E39" s="55">
        <v>14.1</v>
      </c>
    </row>
    <row r="40" spans="2:7" ht="17.25" thickBot="1" x14ac:dyDescent="0.3">
      <c r="B40" s="141" t="s">
        <v>203</v>
      </c>
      <c r="C40" s="142"/>
      <c r="D40" s="142"/>
      <c r="E40" s="56">
        <v>27.2</v>
      </c>
    </row>
  </sheetData>
  <mergeCells count="18">
    <mergeCell ref="Q30:R31"/>
    <mergeCell ref="B40:D40"/>
    <mergeCell ref="B37:D37"/>
    <mergeCell ref="B38:D38"/>
    <mergeCell ref="B36:D36"/>
    <mergeCell ref="Q2:R2"/>
    <mergeCell ref="B2:E2"/>
    <mergeCell ref="G2:J2"/>
    <mergeCell ref="L2:O2"/>
    <mergeCell ref="M4:O8"/>
    <mergeCell ref="B29:E29"/>
    <mergeCell ref="G29:J31"/>
    <mergeCell ref="L29:O31"/>
    <mergeCell ref="B35:D35"/>
    <mergeCell ref="B34:E34"/>
    <mergeCell ref="C4:E8"/>
    <mergeCell ref="H4:J8"/>
    <mergeCell ref="B39:D3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AN233"/>
  <sheetViews>
    <sheetView workbookViewId="0">
      <selection activeCell="T10" sqref="T10"/>
    </sheetView>
  </sheetViews>
  <sheetFormatPr defaultColWidth="9.140625" defaultRowHeight="16.5" x14ac:dyDescent="0.25"/>
  <cols>
    <col min="1" max="1" width="9.140625" style="51"/>
    <col min="2" max="5" width="12.7109375" style="51" customWidth="1"/>
    <col min="6" max="6" width="3.7109375" style="51" customWidth="1"/>
    <col min="7" max="18" width="12.7109375" style="51" customWidth="1"/>
    <col min="19" max="19" width="12.7109375" style="225" customWidth="1"/>
    <col min="20" max="36" width="12.7109375" style="51" customWidth="1"/>
    <col min="37" max="16384" width="9.140625" style="51"/>
  </cols>
  <sheetData>
    <row r="1" spans="2:24" x14ac:dyDescent="0.25">
      <c r="F1" s="224"/>
    </row>
    <row r="2" spans="2:24" s="314" customFormat="1" ht="51.75" customHeight="1" thickBot="1" x14ac:dyDescent="0.3">
      <c r="B2" s="186" t="s">
        <v>238</v>
      </c>
      <c r="C2" s="186"/>
      <c r="D2" s="186"/>
      <c r="E2" s="186"/>
      <c r="G2" s="185" t="s">
        <v>239</v>
      </c>
      <c r="H2" s="185"/>
      <c r="I2" s="185"/>
      <c r="J2" s="185"/>
      <c r="K2" s="185"/>
      <c r="L2" s="185"/>
      <c r="M2" s="185"/>
      <c r="O2" s="186" t="s">
        <v>240</v>
      </c>
      <c r="P2" s="186"/>
      <c r="Q2" s="186"/>
      <c r="R2" s="186"/>
      <c r="S2" s="186"/>
      <c r="T2" s="186"/>
      <c r="U2" s="186"/>
      <c r="W2" s="186" t="s">
        <v>266</v>
      </c>
      <c r="X2" s="186"/>
    </row>
    <row r="3" spans="2:24" ht="16.5" customHeight="1" x14ac:dyDescent="0.25">
      <c r="B3" s="148" t="s">
        <v>19</v>
      </c>
      <c r="C3" s="150" t="s">
        <v>225</v>
      </c>
      <c r="D3" s="150" t="s">
        <v>224</v>
      </c>
      <c r="E3" s="152" t="s">
        <v>47</v>
      </c>
      <c r="G3" s="155" t="s">
        <v>19</v>
      </c>
      <c r="H3" s="157" t="s">
        <v>79</v>
      </c>
      <c r="I3" s="226" t="s">
        <v>81</v>
      </c>
      <c r="J3" s="226"/>
      <c r="K3" s="226"/>
      <c r="L3" s="226"/>
      <c r="M3" s="227"/>
      <c r="O3" s="168" t="s">
        <v>19</v>
      </c>
      <c r="P3" s="228" t="s">
        <v>78</v>
      </c>
      <c r="Q3" s="229"/>
      <c r="R3" s="229"/>
      <c r="S3" s="229"/>
      <c r="T3" s="230"/>
      <c r="U3" s="179" t="s">
        <v>80</v>
      </c>
      <c r="W3" s="168" t="s">
        <v>19</v>
      </c>
      <c r="X3" s="183" t="s">
        <v>267</v>
      </c>
    </row>
    <row r="4" spans="2:24" ht="15" customHeight="1" thickBot="1" x14ac:dyDescent="0.3">
      <c r="B4" s="149"/>
      <c r="C4" s="151"/>
      <c r="D4" s="151"/>
      <c r="E4" s="153"/>
      <c r="G4" s="156"/>
      <c r="H4" s="158"/>
      <c r="I4" s="231" t="s">
        <v>21</v>
      </c>
      <c r="J4" s="231" t="s">
        <v>22</v>
      </c>
      <c r="K4" s="231" t="s">
        <v>23</v>
      </c>
      <c r="L4" s="231" t="s">
        <v>24</v>
      </c>
      <c r="M4" s="232" t="s">
        <v>25</v>
      </c>
      <c r="O4" s="169"/>
      <c r="P4" s="233" t="s">
        <v>21</v>
      </c>
      <c r="Q4" s="233" t="s">
        <v>22</v>
      </c>
      <c r="R4" s="233" t="s">
        <v>23</v>
      </c>
      <c r="S4" s="233" t="s">
        <v>24</v>
      </c>
      <c r="T4" s="234" t="s">
        <v>25</v>
      </c>
      <c r="U4" s="180"/>
      <c r="W4" s="169"/>
      <c r="X4" s="184"/>
    </row>
    <row r="5" spans="2:24" ht="14.1" customHeight="1" x14ac:dyDescent="0.25">
      <c r="B5" s="111">
        <v>2017</v>
      </c>
      <c r="C5" s="132" t="s">
        <v>60</v>
      </c>
      <c r="D5" s="133"/>
      <c r="E5" s="134"/>
      <c r="G5" s="70">
        <v>2017</v>
      </c>
      <c r="H5" s="159" t="s">
        <v>60</v>
      </c>
      <c r="I5" s="160"/>
      <c r="J5" s="160"/>
      <c r="K5" s="160"/>
      <c r="L5" s="160"/>
      <c r="M5" s="161"/>
      <c r="O5" s="235">
        <v>2017</v>
      </c>
      <c r="P5" s="170" t="s">
        <v>60</v>
      </c>
      <c r="Q5" s="171"/>
      <c r="R5" s="171"/>
      <c r="S5" s="171"/>
      <c r="T5" s="172"/>
      <c r="U5" s="236">
        <f>SUM(P5:T5)</f>
        <v>0</v>
      </c>
      <c r="W5" s="235">
        <v>2017</v>
      </c>
      <c r="X5" s="237">
        <f>SUM(U5,U36,U66,U96,U126,U156,U186)</f>
        <v>0</v>
      </c>
    </row>
    <row r="6" spans="2:24" ht="14.1" customHeight="1" x14ac:dyDescent="0.25">
      <c r="B6" s="29">
        <v>2018</v>
      </c>
      <c r="C6" s="132"/>
      <c r="D6" s="133"/>
      <c r="E6" s="134"/>
      <c r="G6" s="29">
        <v>2018</v>
      </c>
      <c r="H6" s="162"/>
      <c r="I6" s="163"/>
      <c r="J6" s="163"/>
      <c r="K6" s="163"/>
      <c r="L6" s="163"/>
      <c r="M6" s="164"/>
      <c r="O6" s="238">
        <v>2018</v>
      </c>
      <c r="P6" s="173"/>
      <c r="Q6" s="174"/>
      <c r="R6" s="174"/>
      <c r="S6" s="174"/>
      <c r="T6" s="175"/>
      <c r="U6" s="239">
        <f t="shared" ref="U6:U29" si="0">SUM(P6:T6)</f>
        <v>0</v>
      </c>
      <c r="W6" s="238">
        <v>2018</v>
      </c>
      <c r="X6" s="240">
        <f>SUM(U6,U37,U67,U97,U127,U157,U187)</f>
        <v>0</v>
      </c>
    </row>
    <row r="7" spans="2:24" ht="14.1" customHeight="1" x14ac:dyDescent="0.25">
      <c r="B7" s="29">
        <v>2019</v>
      </c>
      <c r="C7" s="132"/>
      <c r="D7" s="133"/>
      <c r="E7" s="134"/>
      <c r="G7" s="29">
        <v>2019</v>
      </c>
      <c r="H7" s="162"/>
      <c r="I7" s="163"/>
      <c r="J7" s="163"/>
      <c r="K7" s="163"/>
      <c r="L7" s="163"/>
      <c r="M7" s="164"/>
      <c r="O7" s="238">
        <v>2019</v>
      </c>
      <c r="P7" s="173"/>
      <c r="Q7" s="174"/>
      <c r="R7" s="174"/>
      <c r="S7" s="174"/>
      <c r="T7" s="175"/>
      <c r="U7" s="239">
        <f t="shared" si="0"/>
        <v>0</v>
      </c>
      <c r="W7" s="238">
        <v>2019</v>
      </c>
      <c r="X7" s="240">
        <f>SUM(U7,U38,U68,U98,U128,U158,U188)</f>
        <v>0</v>
      </c>
    </row>
    <row r="8" spans="2:24" ht="14.1" customHeight="1" x14ac:dyDescent="0.25">
      <c r="B8" s="29">
        <v>2020</v>
      </c>
      <c r="C8" s="132"/>
      <c r="D8" s="133"/>
      <c r="E8" s="134"/>
      <c r="G8" s="29">
        <v>2020</v>
      </c>
      <c r="H8" s="162"/>
      <c r="I8" s="163"/>
      <c r="J8" s="163"/>
      <c r="K8" s="163"/>
      <c r="L8" s="163"/>
      <c r="M8" s="164"/>
      <c r="O8" s="238">
        <v>2020</v>
      </c>
      <c r="P8" s="173"/>
      <c r="Q8" s="174"/>
      <c r="R8" s="174"/>
      <c r="S8" s="174"/>
      <c r="T8" s="175"/>
      <c r="U8" s="239">
        <f t="shared" si="0"/>
        <v>0</v>
      </c>
      <c r="W8" s="238">
        <v>2020</v>
      </c>
      <c r="X8" s="240">
        <f>SUM(U8,U39,U69,U99,U129,U159,U189)</f>
        <v>0</v>
      </c>
    </row>
    <row r="9" spans="2:24" ht="14.1" customHeight="1" x14ac:dyDescent="0.25">
      <c r="B9" s="29">
        <v>2021</v>
      </c>
      <c r="C9" s="135"/>
      <c r="D9" s="136"/>
      <c r="E9" s="137"/>
      <c r="G9" s="29">
        <v>2021</v>
      </c>
      <c r="H9" s="165"/>
      <c r="I9" s="166"/>
      <c r="J9" s="166"/>
      <c r="K9" s="166"/>
      <c r="L9" s="166"/>
      <c r="M9" s="167"/>
      <c r="O9" s="238">
        <v>2021</v>
      </c>
      <c r="P9" s="176"/>
      <c r="Q9" s="177"/>
      <c r="R9" s="177"/>
      <c r="S9" s="177"/>
      <c r="T9" s="178"/>
      <c r="U9" s="239">
        <f t="shared" si="0"/>
        <v>0</v>
      </c>
      <c r="W9" s="238">
        <v>2021</v>
      </c>
      <c r="X9" s="240">
        <f>SUM(U9,U40,U70,U100,U130,U160,U190)</f>
        <v>0</v>
      </c>
    </row>
    <row r="10" spans="2:24" ht="14.1" customHeight="1" x14ac:dyDescent="0.25">
      <c r="B10" s="29">
        <v>2022</v>
      </c>
      <c r="C10" s="30">
        <f>SUM(Traffic!R3:R5,Traffic!R19:R20)*365</f>
        <v>25001172.758374326</v>
      </c>
      <c r="D10" s="30">
        <f>SUM(Traffic!AE3:AE5,Traffic!AE19:AE20)*365</f>
        <v>13988522.452258814</v>
      </c>
      <c r="E10" s="31">
        <f t="shared" ref="E10:E29" si="1">C10-D10</f>
        <v>11012650.306115512</v>
      </c>
      <c r="G10" s="29">
        <v>2022</v>
      </c>
      <c r="H10" s="241">
        <f>E10/1000000</f>
        <v>11.012650306115512</v>
      </c>
      <c r="I10" s="242">
        <f t="shared" ref="I10:I29" si="2">$H$215</f>
        <v>2.6021943707136383E-2</v>
      </c>
      <c r="J10" s="242">
        <f t="shared" ref="J10:J29" si="3">$H$216</f>
        <v>0.12292813760924197</v>
      </c>
      <c r="K10" s="242">
        <f t="shared" ref="K10:K29" si="4">$H$217</f>
        <v>0.7893054466212196</v>
      </c>
      <c r="L10" s="242">
        <f t="shared" ref="L10:L29" si="5">$H$218</f>
        <v>0.85768586897701837</v>
      </c>
      <c r="M10" s="243">
        <f t="shared" ref="M10:M29" si="6">$H$219</f>
        <v>3.2373245669588142</v>
      </c>
      <c r="O10" s="238">
        <v>2022</v>
      </c>
      <c r="P10" s="244">
        <f>$H10*$I10*$O$215</f>
        <v>3047226.0543761412</v>
      </c>
      <c r="Q10" s="245">
        <f>$H10*$J10*$O$216</f>
        <v>768880.31974047015</v>
      </c>
      <c r="R10" s="245">
        <f>$H10*$K10*$O$217</f>
        <v>1807290.3458125042</v>
      </c>
      <c r="S10" s="245">
        <f>$H10*$L10*$O$218</f>
        <v>1250297.5662590105</v>
      </c>
      <c r="T10" s="246">
        <f>$H10*$M10*$O$219</f>
        <v>233639.45234534619</v>
      </c>
      <c r="U10" s="239">
        <f t="shared" si="0"/>
        <v>7107333.7385334726</v>
      </c>
      <c r="W10" s="238">
        <v>2022</v>
      </c>
      <c r="X10" s="240">
        <f>SUM(U10,U41,U71,U101,U131,U161,U191)</f>
        <v>3320541.4285619017</v>
      </c>
    </row>
    <row r="11" spans="2:24" ht="14.1" customHeight="1" x14ac:dyDescent="0.25">
      <c r="B11" s="29">
        <v>2023</v>
      </c>
      <c r="C11" s="30">
        <f>($C$29-$C$10)/19+C10</f>
        <v>25231888.631185547</v>
      </c>
      <c r="D11" s="30">
        <f>($D$29-$D$10)/19+D10</f>
        <v>14129217.82302154</v>
      </c>
      <c r="E11" s="31">
        <f t="shared" si="1"/>
        <v>11102670.808164006</v>
      </c>
      <c r="G11" s="29">
        <v>2023</v>
      </c>
      <c r="H11" s="241">
        <f t="shared" ref="H11:H29" si="7">E11/1000000</f>
        <v>11.102670808164007</v>
      </c>
      <c r="I11" s="242">
        <f t="shared" si="2"/>
        <v>2.6021943707136383E-2</v>
      </c>
      <c r="J11" s="242">
        <f t="shared" si="3"/>
        <v>0.12292813760924197</v>
      </c>
      <c r="K11" s="242">
        <f t="shared" si="4"/>
        <v>0.7893054466212196</v>
      </c>
      <c r="L11" s="242">
        <f t="shared" si="5"/>
        <v>0.85768586897701837</v>
      </c>
      <c r="M11" s="243">
        <f t="shared" si="6"/>
        <v>3.2373245669588142</v>
      </c>
      <c r="O11" s="238">
        <v>2023</v>
      </c>
      <c r="P11" s="244">
        <f>$H11*$I11*$O$215</f>
        <v>3072134.9374919394</v>
      </c>
      <c r="Q11" s="245">
        <f>$H11*$J11*$O$216</f>
        <v>775165.36380109994</v>
      </c>
      <c r="R11" s="245">
        <f>$H11*$K11*$O$217</f>
        <v>1822063.6455864096</v>
      </c>
      <c r="S11" s="245">
        <f>$H11*$L11*$O$218</f>
        <v>1260517.850341049</v>
      </c>
      <c r="T11" s="246">
        <f>$H11*$M11*$O$219</f>
        <v>235549.28696406496</v>
      </c>
      <c r="U11" s="239">
        <f t="shared" si="0"/>
        <v>7165431.0841845628</v>
      </c>
      <c r="W11" s="238">
        <v>2023</v>
      </c>
      <c r="X11" s="240">
        <f>SUM(U11,U42,U72,U102,U132,U162,U192)</f>
        <v>3328841.5602981616</v>
      </c>
    </row>
    <row r="12" spans="2:24" ht="14.1" customHeight="1" x14ac:dyDescent="0.25">
      <c r="B12" s="29">
        <v>2024</v>
      </c>
      <c r="C12" s="30">
        <f t="shared" ref="C12:C28" si="8">($C$29-$C$10)/19+C11</f>
        <v>25462604.503996767</v>
      </c>
      <c r="D12" s="30">
        <f t="shared" ref="D12:D28" si="9">($D$29-$D$10)/19+D11</f>
        <v>14269913.193784267</v>
      </c>
      <c r="E12" s="31">
        <f t="shared" si="1"/>
        <v>11192691.3102125</v>
      </c>
      <c r="G12" s="29">
        <v>2024</v>
      </c>
      <c r="H12" s="241">
        <f t="shared" si="7"/>
        <v>11.192691310212501</v>
      </c>
      <c r="I12" s="242">
        <f t="shared" si="2"/>
        <v>2.6021943707136383E-2</v>
      </c>
      <c r="J12" s="242">
        <f t="shared" si="3"/>
        <v>0.12292813760924197</v>
      </c>
      <c r="K12" s="242">
        <f t="shared" si="4"/>
        <v>0.7893054466212196</v>
      </c>
      <c r="L12" s="242">
        <f t="shared" si="5"/>
        <v>0.85768586897701837</v>
      </c>
      <c r="M12" s="243">
        <f t="shared" si="6"/>
        <v>3.2373245669588142</v>
      </c>
      <c r="O12" s="238">
        <v>2024</v>
      </c>
      <c r="P12" s="244">
        <f>$H12*$I12*$O$215</f>
        <v>3097043.8206077376</v>
      </c>
      <c r="Q12" s="245">
        <f>$H12*$J12*$O$216</f>
        <v>781450.40786172962</v>
      </c>
      <c r="R12" s="245">
        <f>$H12*$K12*$O$217</f>
        <v>1836836.9453603155</v>
      </c>
      <c r="S12" s="245">
        <f>$H12*$L12*$O$218</f>
        <v>1270738.1344230874</v>
      </c>
      <c r="T12" s="246">
        <f>$H12*$M12*$O$219</f>
        <v>237459.1215827837</v>
      </c>
      <c r="U12" s="239">
        <f t="shared" si="0"/>
        <v>7223528.4298356539</v>
      </c>
      <c r="W12" s="238">
        <v>2024</v>
      </c>
      <c r="X12" s="240">
        <f>SUM(U12,U43,U73,U103,U133,U163,U193)</f>
        <v>3337141.692034421</v>
      </c>
    </row>
    <row r="13" spans="2:24" ht="14.1" customHeight="1" x14ac:dyDescent="0.25">
      <c r="B13" s="29">
        <v>2025</v>
      </c>
      <c r="C13" s="30">
        <f t="shared" si="8"/>
        <v>25693320.376807988</v>
      </c>
      <c r="D13" s="30">
        <f t="shared" si="9"/>
        <v>14410608.564546993</v>
      </c>
      <c r="E13" s="31">
        <f t="shared" si="1"/>
        <v>11282711.812260995</v>
      </c>
      <c r="G13" s="29">
        <v>2025</v>
      </c>
      <c r="H13" s="241">
        <f t="shared" si="7"/>
        <v>11.282711812260995</v>
      </c>
      <c r="I13" s="242">
        <f t="shared" si="2"/>
        <v>2.6021943707136383E-2</v>
      </c>
      <c r="J13" s="242">
        <f t="shared" si="3"/>
        <v>0.12292813760924197</v>
      </c>
      <c r="K13" s="242">
        <f t="shared" si="4"/>
        <v>0.7893054466212196</v>
      </c>
      <c r="L13" s="242">
        <f t="shared" si="5"/>
        <v>0.85768586897701837</v>
      </c>
      <c r="M13" s="243">
        <f t="shared" si="6"/>
        <v>3.2373245669588142</v>
      </c>
      <c r="O13" s="238">
        <v>2025</v>
      </c>
      <c r="P13" s="244">
        <f>$H13*$I13*$O$215</f>
        <v>3121952.7037235359</v>
      </c>
      <c r="Q13" s="245">
        <f>$H13*$J13*$O$216</f>
        <v>787735.45192235953</v>
      </c>
      <c r="R13" s="245">
        <f>$H13*$K13*$O$217</f>
        <v>1851610.2451342212</v>
      </c>
      <c r="S13" s="245">
        <f>$H13*$L13*$O$218</f>
        <v>1280958.4185051254</v>
      </c>
      <c r="T13" s="246">
        <f>$H13*$M13*$O$219</f>
        <v>239368.95620150247</v>
      </c>
      <c r="U13" s="239">
        <f t="shared" si="0"/>
        <v>7281625.775486744</v>
      </c>
      <c r="W13" s="238">
        <v>2025</v>
      </c>
      <c r="X13" s="240">
        <f>SUM(U13,U44,U74,U104,U134,U164,U194)</f>
        <v>3345441.8237706809</v>
      </c>
    </row>
    <row r="14" spans="2:24" ht="14.1" customHeight="1" x14ac:dyDescent="0.25">
      <c r="B14" s="29">
        <v>2026</v>
      </c>
      <c r="C14" s="30">
        <f t="shared" si="8"/>
        <v>25924036.249619208</v>
      </c>
      <c r="D14" s="30">
        <f t="shared" si="9"/>
        <v>14551303.935309719</v>
      </c>
      <c r="E14" s="31">
        <f t="shared" si="1"/>
        <v>11372732.314309489</v>
      </c>
      <c r="G14" s="29">
        <v>2026</v>
      </c>
      <c r="H14" s="241">
        <f t="shared" si="7"/>
        <v>11.37273231430949</v>
      </c>
      <c r="I14" s="242">
        <f t="shared" si="2"/>
        <v>2.6021943707136383E-2</v>
      </c>
      <c r="J14" s="242">
        <f t="shared" si="3"/>
        <v>0.12292813760924197</v>
      </c>
      <c r="K14" s="242">
        <f t="shared" si="4"/>
        <v>0.7893054466212196</v>
      </c>
      <c r="L14" s="242">
        <f t="shared" si="5"/>
        <v>0.85768586897701837</v>
      </c>
      <c r="M14" s="243">
        <f t="shared" si="6"/>
        <v>3.2373245669588142</v>
      </c>
      <c r="O14" s="238">
        <v>2026</v>
      </c>
      <c r="P14" s="244">
        <f>$H14*$I14*$O$215</f>
        <v>3146861.5868393346</v>
      </c>
      <c r="Q14" s="245">
        <f>$H14*$J14*$O$216</f>
        <v>794020.4959829892</v>
      </c>
      <c r="R14" s="245">
        <f>$H14*$K14*$O$217</f>
        <v>1866383.5449081268</v>
      </c>
      <c r="S14" s="245">
        <f>$H14*$L14*$O$218</f>
        <v>1291178.7025871638</v>
      </c>
      <c r="T14" s="246">
        <f>$H14*$M14*$O$219</f>
        <v>241278.79082022124</v>
      </c>
      <c r="U14" s="239">
        <f t="shared" si="0"/>
        <v>7339723.121137836</v>
      </c>
      <c r="W14" s="238">
        <v>2026</v>
      </c>
      <c r="X14" s="240">
        <f>SUM(U14,U45,U75,U105,U135,U165,U195)</f>
        <v>3353741.9555069427</v>
      </c>
    </row>
    <row r="15" spans="2:24" ht="14.1" customHeight="1" x14ac:dyDescent="0.25">
      <c r="B15" s="29">
        <v>2027</v>
      </c>
      <c r="C15" s="30">
        <f t="shared" si="8"/>
        <v>26154752.122430429</v>
      </c>
      <c r="D15" s="30">
        <f t="shared" si="9"/>
        <v>14691999.306072446</v>
      </c>
      <c r="E15" s="31">
        <f t="shared" si="1"/>
        <v>11462752.816357983</v>
      </c>
      <c r="G15" s="29">
        <v>2027</v>
      </c>
      <c r="H15" s="241">
        <f t="shared" si="7"/>
        <v>11.462752816357984</v>
      </c>
      <c r="I15" s="242">
        <f t="shared" si="2"/>
        <v>2.6021943707136383E-2</v>
      </c>
      <c r="J15" s="242">
        <f t="shared" si="3"/>
        <v>0.12292813760924197</v>
      </c>
      <c r="K15" s="242">
        <f t="shared" si="4"/>
        <v>0.7893054466212196</v>
      </c>
      <c r="L15" s="242">
        <f t="shared" si="5"/>
        <v>0.85768586897701837</v>
      </c>
      <c r="M15" s="243">
        <f t="shared" si="6"/>
        <v>3.2373245669588142</v>
      </c>
      <c r="O15" s="238">
        <v>2027</v>
      </c>
      <c r="P15" s="244">
        <f>$H15*$I15*$O$215</f>
        <v>3171770.4699551328</v>
      </c>
      <c r="Q15" s="245">
        <f>$H15*$J15*$O$216</f>
        <v>800305.54004361911</v>
      </c>
      <c r="R15" s="245">
        <f>$H15*$K15*$O$217</f>
        <v>1881156.8446820325</v>
      </c>
      <c r="S15" s="245">
        <f>$H15*$L15*$O$218</f>
        <v>1301398.9866692023</v>
      </c>
      <c r="T15" s="246">
        <f>$H15*$M15*$O$219</f>
        <v>243188.62543894007</v>
      </c>
      <c r="U15" s="239">
        <f t="shared" si="0"/>
        <v>7397820.4667889262</v>
      </c>
      <c r="W15" s="238">
        <v>2027</v>
      </c>
      <c r="X15" s="240">
        <f>SUM(U15,U46,U76,U106,U136,U166,U196)</f>
        <v>3362042.0872432012</v>
      </c>
    </row>
    <row r="16" spans="2:24" ht="14.1" customHeight="1" x14ac:dyDescent="0.25">
      <c r="B16" s="29">
        <v>2028</v>
      </c>
      <c r="C16" s="30">
        <f t="shared" si="8"/>
        <v>26385467.995241649</v>
      </c>
      <c r="D16" s="30">
        <f t="shared" si="9"/>
        <v>14832694.676835172</v>
      </c>
      <c r="E16" s="31">
        <f t="shared" si="1"/>
        <v>11552773.318406478</v>
      </c>
      <c r="G16" s="29">
        <v>2028</v>
      </c>
      <c r="H16" s="241">
        <f t="shared" si="7"/>
        <v>11.552773318406478</v>
      </c>
      <c r="I16" s="242">
        <f t="shared" si="2"/>
        <v>2.6021943707136383E-2</v>
      </c>
      <c r="J16" s="242">
        <f t="shared" si="3"/>
        <v>0.12292813760924197</v>
      </c>
      <c r="K16" s="242">
        <f t="shared" si="4"/>
        <v>0.7893054466212196</v>
      </c>
      <c r="L16" s="242">
        <f t="shared" si="5"/>
        <v>0.85768586897701837</v>
      </c>
      <c r="M16" s="243">
        <f t="shared" si="6"/>
        <v>3.2373245669588142</v>
      </c>
      <c r="O16" s="238">
        <v>2028</v>
      </c>
      <c r="P16" s="244">
        <f>$H16*$I16*$O$215</f>
        <v>3196679.3530709315</v>
      </c>
      <c r="Q16" s="245">
        <f>$H16*$J16*$O$216</f>
        <v>806590.58410424879</v>
      </c>
      <c r="R16" s="245">
        <f>$H16*$K16*$O$217</f>
        <v>1895930.1444559379</v>
      </c>
      <c r="S16" s="245">
        <f>$H16*$L16*$O$218</f>
        <v>1311619.2707512404</v>
      </c>
      <c r="T16" s="246">
        <f>$H16*$M16*$O$219</f>
        <v>245098.46005765884</v>
      </c>
      <c r="U16" s="239">
        <f t="shared" si="0"/>
        <v>7455917.8124400182</v>
      </c>
      <c r="W16" s="238">
        <v>2028</v>
      </c>
      <c r="X16" s="240">
        <f>SUM(U16,U47,U77,U107,U137,U167,U197)</f>
        <v>3370342.2189794625</v>
      </c>
    </row>
    <row r="17" spans="2:24" ht="14.1" customHeight="1" x14ac:dyDescent="0.25">
      <c r="B17" s="29">
        <v>2029</v>
      </c>
      <c r="C17" s="30">
        <f t="shared" si="8"/>
        <v>26616183.86805287</v>
      </c>
      <c r="D17" s="30">
        <f t="shared" si="9"/>
        <v>14973390.047597898</v>
      </c>
      <c r="E17" s="31">
        <f t="shared" si="1"/>
        <v>11642793.820454972</v>
      </c>
      <c r="G17" s="29">
        <v>2029</v>
      </c>
      <c r="H17" s="241">
        <f t="shared" si="7"/>
        <v>11.642793820454973</v>
      </c>
      <c r="I17" s="242">
        <f t="shared" si="2"/>
        <v>2.6021943707136383E-2</v>
      </c>
      <c r="J17" s="242">
        <f t="shared" si="3"/>
        <v>0.12292813760924197</v>
      </c>
      <c r="K17" s="242">
        <f t="shared" si="4"/>
        <v>0.7893054466212196</v>
      </c>
      <c r="L17" s="242">
        <f t="shared" si="5"/>
        <v>0.85768586897701837</v>
      </c>
      <c r="M17" s="243">
        <f t="shared" si="6"/>
        <v>3.2373245669588142</v>
      </c>
      <c r="O17" s="238">
        <v>2029</v>
      </c>
      <c r="P17" s="244">
        <f>$H17*$I17*$O$215</f>
        <v>3221588.2361867297</v>
      </c>
      <c r="Q17" s="245">
        <f>$H17*$J17*$O$216</f>
        <v>812875.62816487846</v>
      </c>
      <c r="R17" s="245">
        <f>$H17*$K17*$O$217</f>
        <v>1910703.4442298438</v>
      </c>
      <c r="S17" s="245">
        <f>$H17*$L17*$O$218</f>
        <v>1321839.5548332788</v>
      </c>
      <c r="T17" s="246">
        <f>$H17*$M17*$O$219</f>
        <v>247008.29467637761</v>
      </c>
      <c r="U17" s="239">
        <f t="shared" si="0"/>
        <v>7514015.1580911083</v>
      </c>
      <c r="W17" s="238">
        <v>2029</v>
      </c>
      <c r="X17" s="240">
        <f>SUM(U17,U48,U78,U108,U138,U168,U198)</f>
        <v>3378642.3507157229</v>
      </c>
    </row>
    <row r="18" spans="2:24" ht="14.1" customHeight="1" x14ac:dyDescent="0.25">
      <c r="B18" s="29">
        <v>2030</v>
      </c>
      <c r="C18" s="30">
        <f t="shared" si="8"/>
        <v>26846899.740864091</v>
      </c>
      <c r="D18" s="30">
        <f t="shared" si="9"/>
        <v>15114085.418360624</v>
      </c>
      <c r="E18" s="31">
        <f t="shared" si="1"/>
        <v>11732814.322503466</v>
      </c>
      <c r="G18" s="29">
        <v>2030</v>
      </c>
      <c r="H18" s="241">
        <f t="shared" si="7"/>
        <v>11.732814322503467</v>
      </c>
      <c r="I18" s="242">
        <f t="shared" si="2"/>
        <v>2.6021943707136383E-2</v>
      </c>
      <c r="J18" s="242">
        <f t="shared" si="3"/>
        <v>0.12292813760924197</v>
      </c>
      <c r="K18" s="242">
        <f t="shared" si="4"/>
        <v>0.7893054466212196</v>
      </c>
      <c r="L18" s="242">
        <f t="shared" si="5"/>
        <v>0.85768586897701837</v>
      </c>
      <c r="M18" s="243">
        <f t="shared" si="6"/>
        <v>3.2373245669588142</v>
      </c>
      <c r="O18" s="238">
        <v>2030</v>
      </c>
      <c r="P18" s="244">
        <f>$H18*$I18*$O$215</f>
        <v>3246497.119302528</v>
      </c>
      <c r="Q18" s="245">
        <f>$H18*$J18*$O$216</f>
        <v>819160.67222550837</v>
      </c>
      <c r="R18" s="245">
        <f>$H18*$K18*$O$217</f>
        <v>1925476.7440037497</v>
      </c>
      <c r="S18" s="245">
        <f>$H18*$L18*$O$218</f>
        <v>1332059.8389153173</v>
      </c>
      <c r="T18" s="246">
        <f>$H18*$M18*$O$219</f>
        <v>248918.12929509635</v>
      </c>
      <c r="U18" s="239">
        <f t="shared" si="0"/>
        <v>7572112.5037422003</v>
      </c>
      <c r="W18" s="238">
        <v>2030</v>
      </c>
      <c r="X18" s="240">
        <f>SUM(U18,U49,U79,U109,U139,U169,U199)</f>
        <v>3386942.4824519875</v>
      </c>
    </row>
    <row r="19" spans="2:24" ht="14.1" customHeight="1" x14ac:dyDescent="0.25">
      <c r="B19" s="29">
        <v>2031</v>
      </c>
      <c r="C19" s="30">
        <f t="shared" si="8"/>
        <v>27077615.613675311</v>
      </c>
      <c r="D19" s="30">
        <f t="shared" si="9"/>
        <v>15254780.789123351</v>
      </c>
      <c r="E19" s="31">
        <f t="shared" si="1"/>
        <v>11822834.82455196</v>
      </c>
      <c r="G19" s="29">
        <v>2031</v>
      </c>
      <c r="H19" s="241">
        <f t="shared" si="7"/>
        <v>11.822834824551961</v>
      </c>
      <c r="I19" s="242">
        <f t="shared" si="2"/>
        <v>2.6021943707136383E-2</v>
      </c>
      <c r="J19" s="242">
        <f t="shared" si="3"/>
        <v>0.12292813760924197</v>
      </c>
      <c r="K19" s="242">
        <f t="shared" si="4"/>
        <v>0.7893054466212196</v>
      </c>
      <c r="L19" s="242">
        <f t="shared" si="5"/>
        <v>0.85768586897701837</v>
      </c>
      <c r="M19" s="243">
        <f t="shared" si="6"/>
        <v>3.2373245669588142</v>
      </c>
      <c r="O19" s="238">
        <v>2031</v>
      </c>
      <c r="P19" s="244">
        <f>$H19*$I19*$O$215</f>
        <v>3271406.0024183267</v>
      </c>
      <c r="Q19" s="245">
        <f>$H19*$J19*$O$216</f>
        <v>825445.71628613805</v>
      </c>
      <c r="R19" s="245">
        <f>$H19*$K19*$O$217</f>
        <v>1940250.0437776551</v>
      </c>
      <c r="S19" s="245">
        <f>$H19*$L19*$O$218</f>
        <v>1342280.1229973554</v>
      </c>
      <c r="T19" s="246">
        <f>$H19*$M19*$O$219</f>
        <v>250827.96391381513</v>
      </c>
      <c r="U19" s="239">
        <f t="shared" si="0"/>
        <v>7630209.8493932905</v>
      </c>
      <c r="W19" s="238">
        <v>2031</v>
      </c>
      <c r="X19" s="240">
        <f>SUM(U19,U50,U80,U110,U140,U170,U200)</f>
        <v>3395242.6141882488</v>
      </c>
    </row>
    <row r="20" spans="2:24" ht="14.1" customHeight="1" x14ac:dyDescent="0.25">
      <c r="B20" s="29">
        <v>2032</v>
      </c>
      <c r="C20" s="30">
        <f t="shared" si="8"/>
        <v>27308331.486486532</v>
      </c>
      <c r="D20" s="30">
        <f t="shared" si="9"/>
        <v>15395476.159886077</v>
      </c>
      <c r="E20" s="31">
        <f t="shared" si="1"/>
        <v>11912855.326600455</v>
      </c>
      <c r="G20" s="29">
        <v>2032</v>
      </c>
      <c r="H20" s="241">
        <f t="shared" si="7"/>
        <v>11.912855326600456</v>
      </c>
      <c r="I20" s="242">
        <f t="shared" si="2"/>
        <v>2.6021943707136383E-2</v>
      </c>
      <c r="J20" s="242">
        <f t="shared" si="3"/>
        <v>0.12292813760924197</v>
      </c>
      <c r="K20" s="242">
        <f t="shared" si="4"/>
        <v>0.7893054466212196</v>
      </c>
      <c r="L20" s="242">
        <f t="shared" si="5"/>
        <v>0.85768586897701837</v>
      </c>
      <c r="M20" s="243">
        <f t="shared" si="6"/>
        <v>3.2373245669588142</v>
      </c>
      <c r="O20" s="238">
        <v>2032</v>
      </c>
      <c r="P20" s="244">
        <f>$H20*$I20*$O$215</f>
        <v>3296314.8855341249</v>
      </c>
      <c r="Q20" s="245">
        <f>$H20*$J20*$O$216</f>
        <v>831730.76034676796</v>
      </c>
      <c r="R20" s="245">
        <f>$H20*$K20*$O$217</f>
        <v>1955023.343551561</v>
      </c>
      <c r="S20" s="245">
        <f>$H20*$L20*$O$218</f>
        <v>1352500.4070793937</v>
      </c>
      <c r="T20" s="246">
        <f>$H20*$M20*$O$219</f>
        <v>252737.7985325339</v>
      </c>
      <c r="U20" s="239">
        <f t="shared" si="0"/>
        <v>7688307.1950443815</v>
      </c>
      <c r="W20" s="238">
        <v>2032</v>
      </c>
      <c r="X20" s="240">
        <f>SUM(U20,U51,U81,U111,U141,U171,U201)</f>
        <v>3403542.7459245119</v>
      </c>
    </row>
    <row r="21" spans="2:24" ht="14.1" customHeight="1" x14ac:dyDescent="0.25">
      <c r="B21" s="29">
        <v>2033</v>
      </c>
      <c r="C21" s="30">
        <f t="shared" si="8"/>
        <v>27539047.359297752</v>
      </c>
      <c r="D21" s="30">
        <f t="shared" si="9"/>
        <v>15536171.530648803</v>
      </c>
      <c r="E21" s="31">
        <f t="shared" si="1"/>
        <v>12002875.828648949</v>
      </c>
      <c r="G21" s="29">
        <v>2033</v>
      </c>
      <c r="H21" s="241">
        <f t="shared" si="7"/>
        <v>12.00287582864895</v>
      </c>
      <c r="I21" s="242">
        <f t="shared" si="2"/>
        <v>2.6021943707136383E-2</v>
      </c>
      <c r="J21" s="242">
        <f t="shared" si="3"/>
        <v>0.12292813760924197</v>
      </c>
      <c r="K21" s="242">
        <f t="shared" si="4"/>
        <v>0.7893054466212196</v>
      </c>
      <c r="L21" s="242">
        <f t="shared" si="5"/>
        <v>0.85768586897701837</v>
      </c>
      <c r="M21" s="243">
        <f t="shared" si="6"/>
        <v>3.2373245669588142</v>
      </c>
      <c r="O21" s="238">
        <v>2033</v>
      </c>
      <c r="P21" s="244">
        <f>$H21*$I21*$O$215</f>
        <v>3321223.7686499231</v>
      </c>
      <c r="Q21" s="245">
        <f>$H21*$J21*$O$216</f>
        <v>838015.80440739763</v>
      </c>
      <c r="R21" s="245">
        <f>$H21*$K21*$O$217</f>
        <v>1969796.6433254664</v>
      </c>
      <c r="S21" s="245">
        <f>$H21*$L21*$O$218</f>
        <v>1362720.6911614321</v>
      </c>
      <c r="T21" s="246">
        <f>$H21*$M21*$O$219</f>
        <v>254647.63315125272</v>
      </c>
      <c r="U21" s="239">
        <f t="shared" si="0"/>
        <v>7746404.5406954726</v>
      </c>
      <c r="W21" s="238">
        <v>2033</v>
      </c>
      <c r="X21" s="240">
        <f>SUM(U21,U52,U82,U112,U142,U172,U202)</f>
        <v>3411842.8776607742</v>
      </c>
    </row>
    <row r="22" spans="2:24" ht="14.1" customHeight="1" x14ac:dyDescent="0.25">
      <c r="B22" s="29">
        <v>2034</v>
      </c>
      <c r="C22" s="30">
        <f t="shared" si="8"/>
        <v>27769763.232108973</v>
      </c>
      <c r="D22" s="30">
        <f t="shared" si="9"/>
        <v>15676866.90141153</v>
      </c>
      <c r="E22" s="31">
        <f t="shared" si="1"/>
        <v>12092896.330697443</v>
      </c>
      <c r="G22" s="29">
        <v>2034</v>
      </c>
      <c r="H22" s="241">
        <f t="shared" si="7"/>
        <v>12.092896330697444</v>
      </c>
      <c r="I22" s="242">
        <f t="shared" si="2"/>
        <v>2.6021943707136383E-2</v>
      </c>
      <c r="J22" s="242">
        <f t="shared" si="3"/>
        <v>0.12292813760924197</v>
      </c>
      <c r="K22" s="242">
        <f t="shared" si="4"/>
        <v>0.7893054466212196</v>
      </c>
      <c r="L22" s="242">
        <f t="shared" si="5"/>
        <v>0.85768586897701837</v>
      </c>
      <c r="M22" s="243">
        <f t="shared" si="6"/>
        <v>3.2373245669588142</v>
      </c>
      <c r="O22" s="238">
        <v>2034</v>
      </c>
      <c r="P22" s="244">
        <f>$H22*$I22*$O$215</f>
        <v>3346132.6517657214</v>
      </c>
      <c r="Q22" s="245">
        <f>$H22*$J22*$O$216</f>
        <v>844300.84846802743</v>
      </c>
      <c r="R22" s="245">
        <f>$H22*$K22*$O$217</f>
        <v>1984569.9430993721</v>
      </c>
      <c r="S22" s="245">
        <f>$H22*$L22*$O$218</f>
        <v>1372940.9752434704</v>
      </c>
      <c r="T22" s="246">
        <f>$H22*$M22*$O$219</f>
        <v>256557.4677699715</v>
      </c>
      <c r="U22" s="239">
        <f t="shared" si="0"/>
        <v>7804501.8863465628</v>
      </c>
      <c r="W22" s="238">
        <v>2034</v>
      </c>
      <c r="X22" s="240">
        <f>SUM(U22,U53,U83,U113,U143,U173,U203)</f>
        <v>3420143.0093970364</v>
      </c>
    </row>
    <row r="23" spans="2:24" ht="14.1" customHeight="1" x14ac:dyDescent="0.25">
      <c r="B23" s="29">
        <v>2035</v>
      </c>
      <c r="C23" s="30">
        <f t="shared" si="8"/>
        <v>28000479.104920194</v>
      </c>
      <c r="D23" s="30">
        <f t="shared" si="9"/>
        <v>15817562.272174256</v>
      </c>
      <c r="E23" s="31">
        <f t="shared" si="1"/>
        <v>12182916.832745938</v>
      </c>
      <c r="G23" s="29">
        <v>2035</v>
      </c>
      <c r="H23" s="241">
        <f t="shared" si="7"/>
        <v>12.182916832745939</v>
      </c>
      <c r="I23" s="242">
        <f t="shared" si="2"/>
        <v>2.6021943707136383E-2</v>
      </c>
      <c r="J23" s="242">
        <f t="shared" si="3"/>
        <v>0.12292813760924197</v>
      </c>
      <c r="K23" s="242">
        <f t="shared" si="4"/>
        <v>0.7893054466212196</v>
      </c>
      <c r="L23" s="242">
        <f t="shared" si="5"/>
        <v>0.85768586897701837</v>
      </c>
      <c r="M23" s="243">
        <f t="shared" si="6"/>
        <v>3.2373245669588142</v>
      </c>
      <c r="O23" s="238">
        <v>2035</v>
      </c>
      <c r="P23" s="244">
        <f>$H23*$I23*$O$215</f>
        <v>3371041.5348815201</v>
      </c>
      <c r="Q23" s="245">
        <f>$H23*$J23*$O$216</f>
        <v>850585.89252865722</v>
      </c>
      <c r="R23" s="245">
        <f>$H23*$K23*$O$217</f>
        <v>1999343.2428732775</v>
      </c>
      <c r="S23" s="245">
        <f>$H23*$L23*$O$218</f>
        <v>1383161.2593255087</v>
      </c>
      <c r="T23" s="246">
        <f>$H23*$M23*$O$219</f>
        <v>258467.30238869024</v>
      </c>
      <c r="U23" s="239">
        <f t="shared" si="0"/>
        <v>7862599.2319976538</v>
      </c>
      <c r="W23" s="238">
        <v>2035</v>
      </c>
      <c r="X23" s="240">
        <f>SUM(U23,U54,U84,U114,U144,U174,U204)</f>
        <v>3428443.1411333</v>
      </c>
    </row>
    <row r="24" spans="2:24" ht="14.1" customHeight="1" x14ac:dyDescent="0.25">
      <c r="B24" s="29">
        <v>2036</v>
      </c>
      <c r="C24" s="30">
        <f t="shared" si="8"/>
        <v>28231194.977731414</v>
      </c>
      <c r="D24" s="30">
        <f t="shared" si="9"/>
        <v>15958257.642936982</v>
      </c>
      <c r="E24" s="31">
        <f t="shared" si="1"/>
        <v>12272937.334794432</v>
      </c>
      <c r="G24" s="29">
        <v>2036</v>
      </c>
      <c r="H24" s="241">
        <f t="shared" si="7"/>
        <v>12.272937334794431</v>
      </c>
      <c r="I24" s="242">
        <f t="shared" si="2"/>
        <v>2.6021943707136383E-2</v>
      </c>
      <c r="J24" s="242">
        <f t="shared" si="3"/>
        <v>0.12292813760924197</v>
      </c>
      <c r="K24" s="242">
        <f t="shared" si="4"/>
        <v>0.7893054466212196</v>
      </c>
      <c r="L24" s="242">
        <f t="shared" si="5"/>
        <v>0.85768586897701837</v>
      </c>
      <c r="M24" s="243">
        <f t="shared" si="6"/>
        <v>3.2373245669588142</v>
      </c>
      <c r="O24" s="238">
        <v>2036</v>
      </c>
      <c r="P24" s="244">
        <f>$H24*$I24*$O$215</f>
        <v>3395950.4179973179</v>
      </c>
      <c r="Q24" s="245">
        <f>$H24*$J24*$O$216</f>
        <v>856870.93658928678</v>
      </c>
      <c r="R24" s="245">
        <f>$H24*$K24*$O$217</f>
        <v>2014116.5426471832</v>
      </c>
      <c r="S24" s="245">
        <f>$H24*$L24*$O$218</f>
        <v>1393381.5434075468</v>
      </c>
      <c r="T24" s="246">
        <f>$H24*$M24*$O$219</f>
        <v>260377.13700740898</v>
      </c>
      <c r="U24" s="239">
        <f t="shared" si="0"/>
        <v>7920696.5776487431</v>
      </c>
      <c r="W24" s="238">
        <v>2036</v>
      </c>
      <c r="X24" s="240">
        <f>SUM(U24,U55,U85,U115,U145,U175,U205)</f>
        <v>3436743.2728695599</v>
      </c>
    </row>
    <row r="25" spans="2:24" ht="14.1" customHeight="1" x14ac:dyDescent="0.25">
      <c r="B25" s="29">
        <v>2037</v>
      </c>
      <c r="C25" s="30">
        <f t="shared" si="8"/>
        <v>28461910.850542635</v>
      </c>
      <c r="D25" s="30">
        <f t="shared" si="9"/>
        <v>16098953.013699709</v>
      </c>
      <c r="E25" s="31">
        <f t="shared" si="1"/>
        <v>12362957.836842926</v>
      </c>
      <c r="G25" s="29">
        <v>2037</v>
      </c>
      <c r="H25" s="241">
        <f t="shared" si="7"/>
        <v>12.362957836842925</v>
      </c>
      <c r="I25" s="242">
        <f t="shared" si="2"/>
        <v>2.6021943707136383E-2</v>
      </c>
      <c r="J25" s="242">
        <f t="shared" si="3"/>
        <v>0.12292813760924197</v>
      </c>
      <c r="K25" s="242">
        <f t="shared" si="4"/>
        <v>0.7893054466212196</v>
      </c>
      <c r="L25" s="242">
        <f t="shared" si="5"/>
        <v>0.85768586897701837</v>
      </c>
      <c r="M25" s="243">
        <f t="shared" si="6"/>
        <v>3.2373245669588142</v>
      </c>
      <c r="O25" s="238">
        <v>2037</v>
      </c>
      <c r="P25" s="244">
        <f>$H25*$I25*$O$215</f>
        <v>3420859.3011131161</v>
      </c>
      <c r="Q25" s="245">
        <f>$H25*$J25*$O$216</f>
        <v>863155.98064991669</v>
      </c>
      <c r="R25" s="245">
        <f>$H25*$K25*$O$217</f>
        <v>2028889.8424210888</v>
      </c>
      <c r="S25" s="245">
        <f>$H25*$L25*$O$218</f>
        <v>1403601.8274895852</v>
      </c>
      <c r="T25" s="246">
        <f>$H25*$M25*$O$219</f>
        <v>262286.97162612772</v>
      </c>
      <c r="U25" s="239">
        <f t="shared" si="0"/>
        <v>7978793.9232998351</v>
      </c>
      <c r="W25" s="238">
        <v>2037</v>
      </c>
      <c r="X25" s="240">
        <f>SUM(U25,U56,U86,U116,U146,U176,U206)</f>
        <v>3445043.404605825</v>
      </c>
    </row>
    <row r="26" spans="2:24" ht="14.1" customHeight="1" x14ac:dyDescent="0.25">
      <c r="B26" s="29">
        <v>2038</v>
      </c>
      <c r="C26" s="30">
        <f t="shared" si="8"/>
        <v>28692626.723353855</v>
      </c>
      <c r="D26" s="30">
        <f t="shared" si="9"/>
        <v>16239648.384462435</v>
      </c>
      <c r="E26" s="31">
        <f t="shared" si="1"/>
        <v>12452978.338891421</v>
      </c>
      <c r="G26" s="29">
        <v>2038</v>
      </c>
      <c r="H26" s="241">
        <f t="shared" si="7"/>
        <v>12.45297833889142</v>
      </c>
      <c r="I26" s="242">
        <f t="shared" si="2"/>
        <v>2.6021943707136383E-2</v>
      </c>
      <c r="J26" s="242">
        <f t="shared" si="3"/>
        <v>0.12292813760924197</v>
      </c>
      <c r="K26" s="242">
        <f t="shared" si="4"/>
        <v>0.7893054466212196</v>
      </c>
      <c r="L26" s="242">
        <f t="shared" si="5"/>
        <v>0.85768586897701837</v>
      </c>
      <c r="M26" s="243">
        <f t="shared" si="6"/>
        <v>3.2373245669588142</v>
      </c>
      <c r="O26" s="238">
        <v>2038</v>
      </c>
      <c r="P26" s="244">
        <f>$H26*$I26*$O$215</f>
        <v>3445768.1842289148</v>
      </c>
      <c r="Q26" s="245">
        <f>$H26*$J26*$O$216</f>
        <v>869441.02471054636</v>
      </c>
      <c r="R26" s="245">
        <f>$H26*$K26*$O$217</f>
        <v>2043663.1421949943</v>
      </c>
      <c r="S26" s="245">
        <f>$H26*$L26*$O$218</f>
        <v>1413822.1115716235</v>
      </c>
      <c r="T26" s="246">
        <f>$H26*$M26*$O$219</f>
        <v>264196.80624484655</v>
      </c>
      <c r="U26" s="239">
        <f t="shared" si="0"/>
        <v>8036891.2689509243</v>
      </c>
      <c r="W26" s="238">
        <v>2038</v>
      </c>
      <c r="X26" s="240">
        <f>SUM(U26,U57,U87,U117,U147,U177,U207)</f>
        <v>3453343.5363420881</v>
      </c>
    </row>
    <row r="27" spans="2:24" ht="14.1" customHeight="1" x14ac:dyDescent="0.25">
      <c r="B27" s="29">
        <v>2039</v>
      </c>
      <c r="C27" s="30">
        <f t="shared" si="8"/>
        <v>28923342.596165076</v>
      </c>
      <c r="D27" s="30">
        <f t="shared" si="9"/>
        <v>16380343.755225161</v>
      </c>
      <c r="E27" s="31">
        <f t="shared" si="1"/>
        <v>12542998.840939915</v>
      </c>
      <c r="G27" s="29">
        <v>2039</v>
      </c>
      <c r="H27" s="241">
        <f t="shared" si="7"/>
        <v>12.542998840939914</v>
      </c>
      <c r="I27" s="242">
        <f t="shared" si="2"/>
        <v>2.6021943707136383E-2</v>
      </c>
      <c r="J27" s="242">
        <f t="shared" si="3"/>
        <v>0.12292813760924197</v>
      </c>
      <c r="K27" s="242">
        <f t="shared" si="4"/>
        <v>0.7893054466212196</v>
      </c>
      <c r="L27" s="242">
        <f t="shared" si="5"/>
        <v>0.85768586897701837</v>
      </c>
      <c r="M27" s="243">
        <f t="shared" si="6"/>
        <v>3.2373245669588142</v>
      </c>
      <c r="O27" s="238">
        <v>2039</v>
      </c>
      <c r="P27" s="244">
        <f>$H27*$I27*$O$215</f>
        <v>3470677.067344713</v>
      </c>
      <c r="Q27" s="245">
        <f>$H27*$J27*$O$216</f>
        <v>875726.06877117616</v>
      </c>
      <c r="R27" s="245">
        <f>$H27*$K27*$O$217</f>
        <v>2058436.4419689002</v>
      </c>
      <c r="S27" s="245">
        <f>$H27*$L27*$O$218</f>
        <v>1424042.3956536618</v>
      </c>
      <c r="T27" s="246">
        <f>$H27*$M27*$O$219</f>
        <v>266106.64086356532</v>
      </c>
      <c r="U27" s="239">
        <f t="shared" si="0"/>
        <v>8094988.6146020163</v>
      </c>
      <c r="W27" s="238">
        <v>2039</v>
      </c>
      <c r="X27" s="240">
        <f>SUM(U27,U58,U88,U118,U148,U178,U208)</f>
        <v>3461643.6680783532</v>
      </c>
    </row>
    <row r="28" spans="2:24" ht="14.1" customHeight="1" x14ac:dyDescent="0.25">
      <c r="B28" s="29">
        <v>2040</v>
      </c>
      <c r="C28" s="30">
        <f t="shared" si="8"/>
        <v>29154058.468976296</v>
      </c>
      <c r="D28" s="30">
        <f t="shared" si="9"/>
        <v>16521039.125987887</v>
      </c>
      <c r="E28" s="31">
        <f t="shared" si="1"/>
        <v>12633019.342988409</v>
      </c>
      <c r="G28" s="29">
        <v>2040</v>
      </c>
      <c r="H28" s="241">
        <f t="shared" si="7"/>
        <v>12.633019342988408</v>
      </c>
      <c r="I28" s="242">
        <f t="shared" si="2"/>
        <v>2.6021943707136383E-2</v>
      </c>
      <c r="J28" s="242">
        <f t="shared" si="3"/>
        <v>0.12292813760924197</v>
      </c>
      <c r="K28" s="242">
        <f t="shared" si="4"/>
        <v>0.7893054466212196</v>
      </c>
      <c r="L28" s="242">
        <f t="shared" si="5"/>
        <v>0.85768586897701837</v>
      </c>
      <c r="M28" s="243">
        <f t="shared" si="6"/>
        <v>3.2373245669588142</v>
      </c>
      <c r="O28" s="238">
        <v>2040</v>
      </c>
      <c r="P28" s="244">
        <f>$H28*$I28*$O$215</f>
        <v>3495585.9504605113</v>
      </c>
      <c r="Q28" s="245">
        <f>$H28*$J28*$O$216</f>
        <v>882011.11283180595</v>
      </c>
      <c r="R28" s="245">
        <f>$H28*$K28*$O$217</f>
        <v>2073209.741742806</v>
      </c>
      <c r="S28" s="245">
        <f>$H28*$L28*$O$218</f>
        <v>1434262.6797357001</v>
      </c>
      <c r="T28" s="246">
        <f>$H28*$M28*$O$219</f>
        <v>268016.47548228409</v>
      </c>
      <c r="U28" s="239">
        <f t="shared" si="0"/>
        <v>8153085.9602531074</v>
      </c>
      <c r="W28" s="238">
        <v>2040</v>
      </c>
      <c r="X28" s="240">
        <f>SUM(U28,U59,U89,U119,U149,U179,U209)</f>
        <v>3469943.7998146187</v>
      </c>
    </row>
    <row r="29" spans="2:24" ht="14.1" customHeight="1" thickBot="1" x14ac:dyDescent="0.3">
      <c r="B29" s="71">
        <v>2041</v>
      </c>
      <c r="C29" s="33">
        <f>SUM(Traffic!S3:S5,Traffic!S19:S20)*365</f>
        <v>29384774.341787528</v>
      </c>
      <c r="D29" s="33">
        <f>SUM(Traffic!AF3:AF5,Traffic!AF19:AF20)*365</f>
        <v>16661734.496750606</v>
      </c>
      <c r="E29" s="34">
        <f t="shared" si="1"/>
        <v>12723039.845036922</v>
      </c>
      <c r="G29" s="71">
        <v>2041</v>
      </c>
      <c r="H29" s="241">
        <f t="shared" si="7"/>
        <v>12.723039845036922</v>
      </c>
      <c r="I29" s="247">
        <f t="shared" si="2"/>
        <v>2.6021943707136383E-2</v>
      </c>
      <c r="J29" s="247">
        <f t="shared" si="3"/>
        <v>0.12292813760924197</v>
      </c>
      <c r="K29" s="247">
        <f t="shared" si="4"/>
        <v>0.7893054466212196</v>
      </c>
      <c r="L29" s="247">
        <f t="shared" si="5"/>
        <v>0.85768586897701837</v>
      </c>
      <c r="M29" s="248">
        <f t="shared" si="6"/>
        <v>3.2373245669588142</v>
      </c>
      <c r="O29" s="249">
        <v>2041</v>
      </c>
      <c r="P29" s="250">
        <f>$H29*$I29*$O$215</f>
        <v>3520494.8335763155</v>
      </c>
      <c r="Q29" s="251">
        <f>$H29*$J29*$O$216</f>
        <v>888296.15689243714</v>
      </c>
      <c r="R29" s="251">
        <f>$H29*$K29*$O$217</f>
        <v>2087983.0415167147</v>
      </c>
      <c r="S29" s="251">
        <f>$H29*$L29*$O$218</f>
        <v>1444482.9638177408</v>
      </c>
      <c r="T29" s="252">
        <f>$H29*$M29*$O$219</f>
        <v>269926.31010100327</v>
      </c>
      <c r="U29" s="253">
        <f t="shared" si="0"/>
        <v>8211183.3059042115</v>
      </c>
      <c r="W29" s="249">
        <v>2041</v>
      </c>
      <c r="X29" s="254">
        <f>SUM(U29,U60,U90,U120,U150,U180,U210)</f>
        <v>3478243.9315509209</v>
      </c>
    </row>
    <row r="30" spans="2:24" ht="16.5" customHeight="1" x14ac:dyDescent="0.25">
      <c r="B30" s="273" t="s">
        <v>288</v>
      </c>
      <c r="C30" s="273"/>
      <c r="D30" s="273"/>
      <c r="E30" s="273"/>
      <c r="G30" s="442" t="s">
        <v>289</v>
      </c>
      <c r="H30" s="442"/>
      <c r="I30" s="442"/>
      <c r="J30" s="442"/>
      <c r="K30" s="442"/>
      <c r="L30" s="442"/>
      <c r="M30" s="442"/>
      <c r="O30" s="443" t="s">
        <v>290</v>
      </c>
      <c r="P30" s="443"/>
      <c r="Q30" s="443"/>
      <c r="R30" s="443"/>
      <c r="S30" s="443"/>
      <c r="T30" s="443"/>
      <c r="U30" s="443"/>
      <c r="W30" s="336" t="s">
        <v>231</v>
      </c>
      <c r="X30" s="342">
        <f>SUM(X5:X29)</f>
        <v>67987853.601127714</v>
      </c>
    </row>
    <row r="31" spans="2:24" s="358" customFormat="1" ht="16.5" customHeight="1" x14ac:dyDescent="0.25">
      <c r="G31" s="67"/>
      <c r="H31" s="67"/>
      <c r="I31" s="67"/>
      <c r="J31" s="67"/>
      <c r="K31" s="67"/>
      <c r="L31" s="67"/>
      <c r="M31" s="67"/>
      <c r="O31" s="309"/>
      <c r="P31" s="309"/>
      <c r="Q31" s="309"/>
      <c r="R31" s="309"/>
      <c r="S31" s="309"/>
      <c r="T31" s="309"/>
      <c r="U31" s="256"/>
      <c r="W31" s="441" t="s">
        <v>291</v>
      </c>
      <c r="X31" s="441"/>
    </row>
    <row r="32" spans="2:24" s="358" customFormat="1" ht="16.5" customHeight="1" x14ac:dyDescent="0.25">
      <c r="G32" s="373"/>
      <c r="H32" s="373"/>
      <c r="I32" s="373"/>
      <c r="J32" s="373"/>
      <c r="K32" s="373"/>
      <c r="L32" s="373"/>
      <c r="M32" s="373"/>
      <c r="O32" s="309"/>
      <c r="P32" s="309"/>
      <c r="Q32" s="309"/>
      <c r="R32" s="309"/>
      <c r="S32" s="309"/>
      <c r="T32" s="309"/>
      <c r="U32" s="256"/>
      <c r="W32" s="441"/>
      <c r="X32" s="441"/>
    </row>
    <row r="33" spans="2:21" s="314" customFormat="1" ht="34.5" customHeight="1" thickBot="1" x14ac:dyDescent="0.3">
      <c r="B33" s="186" t="s">
        <v>242</v>
      </c>
      <c r="C33" s="186"/>
      <c r="D33" s="186"/>
      <c r="E33" s="186"/>
      <c r="G33" s="185" t="s">
        <v>243</v>
      </c>
      <c r="H33" s="185"/>
      <c r="I33" s="185"/>
      <c r="J33" s="185"/>
      <c r="K33" s="185"/>
      <c r="L33" s="185"/>
      <c r="M33" s="185"/>
      <c r="O33" s="344" t="s">
        <v>244</v>
      </c>
      <c r="P33" s="344"/>
      <c r="Q33" s="344"/>
      <c r="R33" s="344"/>
      <c r="S33" s="344"/>
      <c r="T33" s="344"/>
      <c r="U33" s="344"/>
    </row>
    <row r="34" spans="2:21" ht="16.5" customHeight="1" x14ac:dyDescent="0.25">
      <c r="B34" s="148" t="s">
        <v>19</v>
      </c>
      <c r="C34" s="150" t="s">
        <v>225</v>
      </c>
      <c r="D34" s="150" t="s">
        <v>224</v>
      </c>
      <c r="E34" s="152" t="s">
        <v>47</v>
      </c>
      <c r="G34" s="155" t="s">
        <v>19</v>
      </c>
      <c r="H34" s="157" t="s">
        <v>79</v>
      </c>
      <c r="I34" s="226" t="s">
        <v>81</v>
      </c>
      <c r="J34" s="226"/>
      <c r="K34" s="226"/>
      <c r="L34" s="226"/>
      <c r="M34" s="227"/>
      <c r="O34" s="168" t="s">
        <v>19</v>
      </c>
      <c r="P34" s="228" t="s">
        <v>78</v>
      </c>
      <c r="Q34" s="229"/>
      <c r="R34" s="229"/>
      <c r="S34" s="229"/>
      <c r="T34" s="230"/>
      <c r="U34" s="179" t="s">
        <v>80</v>
      </c>
    </row>
    <row r="35" spans="2:21" ht="15" customHeight="1" thickBot="1" x14ac:dyDescent="0.3">
      <c r="B35" s="149"/>
      <c r="C35" s="151"/>
      <c r="D35" s="151"/>
      <c r="E35" s="153"/>
      <c r="G35" s="156"/>
      <c r="H35" s="158"/>
      <c r="I35" s="231" t="s">
        <v>21</v>
      </c>
      <c r="J35" s="231" t="s">
        <v>22</v>
      </c>
      <c r="K35" s="231" t="s">
        <v>23</v>
      </c>
      <c r="L35" s="231" t="s">
        <v>24</v>
      </c>
      <c r="M35" s="232" t="s">
        <v>25</v>
      </c>
      <c r="O35" s="169"/>
      <c r="P35" s="233" t="s">
        <v>21</v>
      </c>
      <c r="Q35" s="233" t="s">
        <v>22</v>
      </c>
      <c r="R35" s="233" t="s">
        <v>23</v>
      </c>
      <c r="S35" s="233" t="s">
        <v>24</v>
      </c>
      <c r="T35" s="234" t="s">
        <v>25</v>
      </c>
      <c r="U35" s="180"/>
    </row>
    <row r="36" spans="2:21" ht="14.45" customHeight="1" x14ac:dyDescent="0.25">
      <c r="B36" s="111">
        <v>2017</v>
      </c>
      <c r="C36" s="132" t="s">
        <v>60</v>
      </c>
      <c r="D36" s="133"/>
      <c r="E36" s="134"/>
      <c r="G36" s="70">
        <v>2017</v>
      </c>
      <c r="H36" s="159" t="s">
        <v>60</v>
      </c>
      <c r="I36" s="160"/>
      <c r="J36" s="160"/>
      <c r="K36" s="160"/>
      <c r="L36" s="160"/>
      <c r="M36" s="161"/>
      <c r="O36" s="235">
        <v>2017</v>
      </c>
      <c r="P36" s="170" t="s">
        <v>60</v>
      </c>
      <c r="Q36" s="171"/>
      <c r="R36" s="171"/>
      <c r="S36" s="171"/>
      <c r="T36" s="172"/>
      <c r="U36" s="236">
        <f>SUM(P36:T36)</f>
        <v>0</v>
      </c>
    </row>
    <row r="37" spans="2:21" ht="14.45" customHeight="1" x14ac:dyDescent="0.25">
      <c r="B37" s="29">
        <v>2018</v>
      </c>
      <c r="C37" s="132"/>
      <c r="D37" s="133"/>
      <c r="E37" s="134"/>
      <c r="G37" s="29">
        <v>2018</v>
      </c>
      <c r="H37" s="162"/>
      <c r="I37" s="163"/>
      <c r="J37" s="163"/>
      <c r="K37" s="163"/>
      <c r="L37" s="163"/>
      <c r="M37" s="164"/>
      <c r="O37" s="238">
        <v>2018</v>
      </c>
      <c r="P37" s="173"/>
      <c r="Q37" s="174"/>
      <c r="R37" s="174"/>
      <c r="S37" s="174"/>
      <c r="T37" s="175"/>
      <c r="U37" s="239">
        <f t="shared" ref="U37:U60" si="10">SUM(P37:T37)</f>
        <v>0</v>
      </c>
    </row>
    <row r="38" spans="2:21" ht="14.45" customHeight="1" x14ac:dyDescent="0.25">
      <c r="B38" s="29">
        <v>2019</v>
      </c>
      <c r="C38" s="132"/>
      <c r="D38" s="133"/>
      <c r="E38" s="134"/>
      <c r="G38" s="29">
        <v>2019</v>
      </c>
      <c r="H38" s="162"/>
      <c r="I38" s="163"/>
      <c r="J38" s="163"/>
      <c r="K38" s="163"/>
      <c r="L38" s="163"/>
      <c r="M38" s="164"/>
      <c r="O38" s="238">
        <v>2019</v>
      </c>
      <c r="P38" s="173"/>
      <c r="Q38" s="174"/>
      <c r="R38" s="174"/>
      <c r="S38" s="174"/>
      <c r="T38" s="175"/>
      <c r="U38" s="239">
        <f t="shared" si="10"/>
        <v>0</v>
      </c>
    </row>
    <row r="39" spans="2:21" ht="14.45" customHeight="1" x14ac:dyDescent="0.25">
      <c r="B39" s="29">
        <v>2020</v>
      </c>
      <c r="C39" s="132"/>
      <c r="D39" s="133"/>
      <c r="E39" s="134"/>
      <c r="G39" s="29">
        <v>2020</v>
      </c>
      <c r="H39" s="162"/>
      <c r="I39" s="163"/>
      <c r="J39" s="163"/>
      <c r="K39" s="163"/>
      <c r="L39" s="163"/>
      <c r="M39" s="164"/>
      <c r="O39" s="238">
        <v>2020</v>
      </c>
      <c r="P39" s="173"/>
      <c r="Q39" s="174"/>
      <c r="R39" s="174"/>
      <c r="S39" s="174"/>
      <c r="T39" s="175"/>
      <c r="U39" s="239">
        <f t="shared" si="10"/>
        <v>0</v>
      </c>
    </row>
    <row r="40" spans="2:21" ht="14.45" customHeight="1" x14ac:dyDescent="0.25">
      <c r="B40" s="29">
        <v>2021</v>
      </c>
      <c r="C40" s="135"/>
      <c r="D40" s="136"/>
      <c r="E40" s="137"/>
      <c r="G40" s="29">
        <v>2021</v>
      </c>
      <c r="H40" s="165"/>
      <c r="I40" s="166"/>
      <c r="J40" s="166"/>
      <c r="K40" s="166"/>
      <c r="L40" s="166"/>
      <c r="M40" s="167"/>
      <c r="O40" s="238">
        <v>2021</v>
      </c>
      <c r="P40" s="176"/>
      <c r="Q40" s="177"/>
      <c r="R40" s="177"/>
      <c r="S40" s="177"/>
      <c r="T40" s="178"/>
      <c r="U40" s="239">
        <f t="shared" si="10"/>
        <v>0</v>
      </c>
    </row>
    <row r="41" spans="2:21" x14ac:dyDescent="0.25">
      <c r="B41" s="29">
        <v>2022</v>
      </c>
      <c r="C41" s="30">
        <f>Traffic!R55*365</f>
        <v>0</v>
      </c>
      <c r="D41" s="30">
        <f>Traffic!AE55*365</f>
        <v>8888266.9740211982</v>
      </c>
      <c r="E41" s="31">
        <f t="shared" ref="E41:E60" si="11">C41-D41</f>
        <v>-8888266.9740211982</v>
      </c>
      <c r="G41" s="29">
        <v>2022</v>
      </c>
      <c r="H41" s="241">
        <f>E41/1000000</f>
        <v>-8.8882669740211977</v>
      </c>
      <c r="I41" s="242">
        <f t="shared" ref="I41:I60" si="12">$I$215</f>
        <v>1.9516457780352287E-2</v>
      </c>
      <c r="J41" s="242">
        <f t="shared" ref="J41:J60" si="13">$I$216</f>
        <v>9.2196103206931473E-2</v>
      </c>
      <c r="K41" s="242">
        <f t="shared" ref="K41:K60" si="14">$I$217</f>
        <v>0.59197908496591467</v>
      </c>
      <c r="L41" s="242">
        <f t="shared" ref="L41:L60" si="15">$I$218</f>
        <v>0.64326440173276378</v>
      </c>
      <c r="M41" s="243">
        <f t="shared" ref="M41:M60" si="16">$I$219</f>
        <v>2.4279934252191104</v>
      </c>
      <c r="O41" s="238">
        <v>2022</v>
      </c>
      <c r="P41" s="244">
        <f t="shared" ref="P41:P60" si="17">$H41*$I41*$O$215</f>
        <v>-1844553.1694433168</v>
      </c>
      <c r="Q41" s="245">
        <f t="shared" ref="Q41:Q60" si="18">$H41*$J41*$O$216</f>
        <v>-465420.22330871399</v>
      </c>
      <c r="R41" s="245">
        <f t="shared" ref="R41:R60" si="19">$H41*$K41*$O$217</f>
        <v>-1093992.7251820706</v>
      </c>
      <c r="S41" s="245">
        <f t="shared" ref="S41:S60" si="20">$H41*$L41*$O$218</f>
        <v>-756832.7053643812</v>
      </c>
      <c r="T41" s="246">
        <f t="shared" ref="T41:T60" si="21">$H41*$M41*$O$219</f>
        <v>-141427.11588846651</v>
      </c>
      <c r="U41" s="239">
        <f t="shared" si="10"/>
        <v>-4302225.9391869484</v>
      </c>
    </row>
    <row r="42" spans="2:21" x14ac:dyDescent="0.25">
      <c r="B42" s="29">
        <v>2023</v>
      </c>
      <c r="C42" s="30">
        <f>($C$60-$C$41)/19+C41</f>
        <v>0</v>
      </c>
      <c r="D42" s="30">
        <f>($D$60-$D$41)/19+D41</f>
        <v>8976442.3148275856</v>
      </c>
      <c r="E42" s="31">
        <f t="shared" si="11"/>
        <v>-8976442.3148275856</v>
      </c>
      <c r="G42" s="29">
        <v>2023</v>
      </c>
      <c r="H42" s="241">
        <f t="shared" ref="H42:H60" si="22">E42/1000000</f>
        <v>-8.9764423148275849</v>
      </c>
      <c r="I42" s="242">
        <f t="shared" si="12"/>
        <v>1.9516457780352287E-2</v>
      </c>
      <c r="J42" s="242">
        <f t="shared" si="13"/>
        <v>9.2196103206931473E-2</v>
      </c>
      <c r="K42" s="242">
        <f t="shared" si="14"/>
        <v>0.59197908496591467</v>
      </c>
      <c r="L42" s="242">
        <f t="shared" si="15"/>
        <v>0.64326440173276378</v>
      </c>
      <c r="M42" s="243">
        <f t="shared" si="16"/>
        <v>2.4279934252191104</v>
      </c>
      <c r="O42" s="238">
        <v>2023</v>
      </c>
      <c r="P42" s="244">
        <f t="shared" si="17"/>
        <v>-1862851.9114620415</v>
      </c>
      <c r="Q42" s="245">
        <f t="shared" si="18"/>
        <v>-470037.38736649702</v>
      </c>
      <c r="R42" s="245">
        <f t="shared" si="19"/>
        <v>-1104845.5924130594</v>
      </c>
      <c r="S42" s="245">
        <f t="shared" si="20"/>
        <v>-764340.80361615238</v>
      </c>
      <c r="T42" s="246">
        <f t="shared" si="21"/>
        <v>-142830.13226715749</v>
      </c>
      <c r="U42" s="239">
        <f t="shared" si="10"/>
        <v>-4344905.8271249076</v>
      </c>
    </row>
    <row r="43" spans="2:21" x14ac:dyDescent="0.25">
      <c r="B43" s="29">
        <v>2024</v>
      </c>
      <c r="C43" s="30">
        <f t="shared" ref="C43:C59" si="23">($C$60-$C$41)/19+C42</f>
        <v>0</v>
      </c>
      <c r="D43" s="30">
        <f t="shared" ref="D43:D59" si="24">($D$60-$D$41)/19+D42</f>
        <v>9064617.655633973</v>
      </c>
      <c r="E43" s="31">
        <f t="shared" si="11"/>
        <v>-9064617.655633973</v>
      </c>
      <c r="G43" s="29">
        <v>2024</v>
      </c>
      <c r="H43" s="241">
        <f t="shared" si="22"/>
        <v>-9.0646176556339721</v>
      </c>
      <c r="I43" s="242">
        <f t="shared" si="12"/>
        <v>1.9516457780352287E-2</v>
      </c>
      <c r="J43" s="242">
        <f t="shared" si="13"/>
        <v>9.2196103206931473E-2</v>
      </c>
      <c r="K43" s="242">
        <f t="shared" si="14"/>
        <v>0.59197908496591467</v>
      </c>
      <c r="L43" s="242">
        <f t="shared" si="15"/>
        <v>0.64326440173276378</v>
      </c>
      <c r="M43" s="243">
        <f t="shared" si="16"/>
        <v>2.4279934252191104</v>
      </c>
      <c r="O43" s="238">
        <v>2024</v>
      </c>
      <c r="P43" s="244">
        <f t="shared" si="17"/>
        <v>-1881150.6534807666</v>
      </c>
      <c r="Q43" s="245">
        <f t="shared" si="18"/>
        <v>-474654.5514242801</v>
      </c>
      <c r="R43" s="245">
        <f t="shared" si="19"/>
        <v>-1115698.4596440487</v>
      </c>
      <c r="S43" s="245">
        <f t="shared" si="20"/>
        <v>-771848.90186792356</v>
      </c>
      <c r="T43" s="246">
        <f t="shared" si="21"/>
        <v>-144233.1486458485</v>
      </c>
      <c r="U43" s="239">
        <f t="shared" si="10"/>
        <v>-4387585.7150628679</v>
      </c>
    </row>
    <row r="44" spans="2:21" x14ac:dyDescent="0.25">
      <c r="B44" s="29">
        <v>2025</v>
      </c>
      <c r="C44" s="30">
        <f t="shared" si="23"/>
        <v>0</v>
      </c>
      <c r="D44" s="30">
        <f t="shared" si="24"/>
        <v>9152792.9964403603</v>
      </c>
      <c r="E44" s="31">
        <f t="shared" si="11"/>
        <v>-9152792.9964403603</v>
      </c>
      <c r="G44" s="29">
        <v>2025</v>
      </c>
      <c r="H44" s="241">
        <f t="shared" si="22"/>
        <v>-9.1527929964403612</v>
      </c>
      <c r="I44" s="242">
        <f t="shared" si="12"/>
        <v>1.9516457780352287E-2</v>
      </c>
      <c r="J44" s="242">
        <f t="shared" si="13"/>
        <v>9.2196103206931473E-2</v>
      </c>
      <c r="K44" s="242">
        <f t="shared" si="14"/>
        <v>0.59197908496591467</v>
      </c>
      <c r="L44" s="242">
        <f t="shared" si="15"/>
        <v>0.64326440173276378</v>
      </c>
      <c r="M44" s="243">
        <f t="shared" si="16"/>
        <v>2.4279934252191104</v>
      </c>
      <c r="O44" s="238">
        <v>2025</v>
      </c>
      <c r="P44" s="244">
        <f t="shared" si="17"/>
        <v>-1899449.3954994918</v>
      </c>
      <c r="Q44" s="245">
        <f t="shared" si="18"/>
        <v>-479271.71548206324</v>
      </c>
      <c r="R44" s="245">
        <f t="shared" si="19"/>
        <v>-1126551.326875038</v>
      </c>
      <c r="S44" s="245">
        <f t="shared" si="20"/>
        <v>-779357.00011969486</v>
      </c>
      <c r="T44" s="246">
        <f t="shared" si="21"/>
        <v>-145636.16502453948</v>
      </c>
      <c r="U44" s="239">
        <f t="shared" si="10"/>
        <v>-4430265.6030008271</v>
      </c>
    </row>
    <row r="45" spans="2:21" x14ac:dyDescent="0.25">
      <c r="B45" s="29">
        <v>2026</v>
      </c>
      <c r="C45" s="30">
        <f t="shared" si="23"/>
        <v>0</v>
      </c>
      <c r="D45" s="30">
        <f t="shared" si="24"/>
        <v>9240968.3372467477</v>
      </c>
      <c r="E45" s="31">
        <f t="shared" si="11"/>
        <v>-9240968.3372467477</v>
      </c>
      <c r="G45" s="29">
        <v>2026</v>
      </c>
      <c r="H45" s="241">
        <f t="shared" si="22"/>
        <v>-9.2409683372467484</v>
      </c>
      <c r="I45" s="242">
        <f t="shared" si="12"/>
        <v>1.9516457780352287E-2</v>
      </c>
      <c r="J45" s="242">
        <f t="shared" si="13"/>
        <v>9.2196103206931473E-2</v>
      </c>
      <c r="K45" s="242">
        <f t="shared" si="14"/>
        <v>0.59197908496591467</v>
      </c>
      <c r="L45" s="242">
        <f t="shared" si="15"/>
        <v>0.64326440173276378</v>
      </c>
      <c r="M45" s="243">
        <f t="shared" si="16"/>
        <v>2.4279934252191104</v>
      </c>
      <c r="O45" s="238">
        <v>2026</v>
      </c>
      <c r="P45" s="244">
        <f t="shared" si="17"/>
        <v>-1917748.1375182166</v>
      </c>
      <c r="Q45" s="245">
        <f t="shared" si="18"/>
        <v>-483888.87953984627</v>
      </c>
      <c r="R45" s="245">
        <f t="shared" si="19"/>
        <v>-1137404.194106027</v>
      </c>
      <c r="S45" s="245">
        <f t="shared" si="20"/>
        <v>-786865.09837146604</v>
      </c>
      <c r="T45" s="246">
        <f t="shared" si="21"/>
        <v>-147039.1814032305</v>
      </c>
      <c r="U45" s="239">
        <f t="shared" si="10"/>
        <v>-4472945.4909387864</v>
      </c>
    </row>
    <row r="46" spans="2:21" x14ac:dyDescent="0.25">
      <c r="B46" s="29">
        <v>2027</v>
      </c>
      <c r="C46" s="30">
        <f t="shared" si="23"/>
        <v>0</v>
      </c>
      <c r="D46" s="30">
        <f t="shared" si="24"/>
        <v>9329143.6780531351</v>
      </c>
      <c r="E46" s="31">
        <f t="shared" si="11"/>
        <v>-9329143.6780531351</v>
      </c>
      <c r="G46" s="29">
        <v>2027</v>
      </c>
      <c r="H46" s="241">
        <f t="shared" si="22"/>
        <v>-9.3291436780531356</v>
      </c>
      <c r="I46" s="242">
        <f t="shared" si="12"/>
        <v>1.9516457780352287E-2</v>
      </c>
      <c r="J46" s="242">
        <f t="shared" si="13"/>
        <v>9.2196103206931473E-2</v>
      </c>
      <c r="K46" s="242">
        <f t="shared" si="14"/>
        <v>0.59197908496591467</v>
      </c>
      <c r="L46" s="242">
        <f t="shared" si="15"/>
        <v>0.64326440173276378</v>
      </c>
      <c r="M46" s="243">
        <f t="shared" si="16"/>
        <v>2.4279934252191104</v>
      </c>
      <c r="O46" s="238">
        <v>2027</v>
      </c>
      <c r="P46" s="244">
        <f t="shared" si="17"/>
        <v>-1936046.8795369416</v>
      </c>
      <c r="Q46" s="245">
        <f t="shared" si="18"/>
        <v>-488506.04359762929</v>
      </c>
      <c r="R46" s="245">
        <f t="shared" si="19"/>
        <v>-1148257.0613370163</v>
      </c>
      <c r="S46" s="245">
        <f t="shared" si="20"/>
        <v>-794373.19662323745</v>
      </c>
      <c r="T46" s="246">
        <f t="shared" si="21"/>
        <v>-148442.19778192151</v>
      </c>
      <c r="U46" s="239">
        <f t="shared" si="10"/>
        <v>-4515625.3788767466</v>
      </c>
    </row>
    <row r="47" spans="2:21" x14ac:dyDescent="0.25">
      <c r="B47" s="29">
        <v>2028</v>
      </c>
      <c r="C47" s="30">
        <f t="shared" si="23"/>
        <v>0</v>
      </c>
      <c r="D47" s="30">
        <f t="shared" si="24"/>
        <v>9417319.0188595224</v>
      </c>
      <c r="E47" s="31">
        <f t="shared" si="11"/>
        <v>-9417319.0188595224</v>
      </c>
      <c r="G47" s="29">
        <v>2028</v>
      </c>
      <c r="H47" s="241">
        <f t="shared" si="22"/>
        <v>-9.4173190188595228</v>
      </c>
      <c r="I47" s="242">
        <f t="shared" si="12"/>
        <v>1.9516457780352287E-2</v>
      </c>
      <c r="J47" s="242">
        <f t="shared" si="13"/>
        <v>9.2196103206931473E-2</v>
      </c>
      <c r="K47" s="242">
        <f t="shared" si="14"/>
        <v>0.59197908496591467</v>
      </c>
      <c r="L47" s="242">
        <f t="shared" si="15"/>
        <v>0.64326440173276378</v>
      </c>
      <c r="M47" s="243">
        <f t="shared" si="16"/>
        <v>2.4279934252191104</v>
      </c>
      <c r="O47" s="238">
        <v>2028</v>
      </c>
      <c r="P47" s="244">
        <f t="shared" si="17"/>
        <v>-1954345.6215556664</v>
      </c>
      <c r="Q47" s="245">
        <f t="shared" si="18"/>
        <v>-493123.20765541238</v>
      </c>
      <c r="R47" s="245">
        <f t="shared" si="19"/>
        <v>-1159109.9285680053</v>
      </c>
      <c r="S47" s="245">
        <f t="shared" si="20"/>
        <v>-801881.29487500864</v>
      </c>
      <c r="T47" s="246">
        <f t="shared" si="21"/>
        <v>-149845.21416061246</v>
      </c>
      <c r="U47" s="239">
        <f t="shared" si="10"/>
        <v>-4558305.2668147059</v>
      </c>
    </row>
    <row r="48" spans="2:21" x14ac:dyDescent="0.25">
      <c r="B48" s="29">
        <v>2029</v>
      </c>
      <c r="C48" s="30">
        <f t="shared" si="23"/>
        <v>0</v>
      </c>
      <c r="D48" s="30">
        <f t="shared" si="24"/>
        <v>9505494.3596659098</v>
      </c>
      <c r="E48" s="31">
        <f t="shared" si="11"/>
        <v>-9505494.3596659098</v>
      </c>
      <c r="G48" s="29">
        <v>2029</v>
      </c>
      <c r="H48" s="241">
        <f t="shared" si="22"/>
        <v>-9.5054943596659101</v>
      </c>
      <c r="I48" s="242">
        <f t="shared" si="12"/>
        <v>1.9516457780352287E-2</v>
      </c>
      <c r="J48" s="242">
        <f t="shared" si="13"/>
        <v>9.2196103206931473E-2</v>
      </c>
      <c r="K48" s="242">
        <f t="shared" si="14"/>
        <v>0.59197908496591467</v>
      </c>
      <c r="L48" s="242">
        <f t="shared" si="15"/>
        <v>0.64326440173276378</v>
      </c>
      <c r="M48" s="243">
        <f t="shared" si="16"/>
        <v>2.4279934252191104</v>
      </c>
      <c r="O48" s="238">
        <v>2029</v>
      </c>
      <c r="P48" s="244">
        <f t="shared" si="17"/>
        <v>-1972644.3635743912</v>
      </c>
      <c r="Q48" s="245">
        <f t="shared" si="18"/>
        <v>-497740.3717131954</v>
      </c>
      <c r="R48" s="245">
        <f t="shared" si="19"/>
        <v>-1169962.7957989944</v>
      </c>
      <c r="S48" s="245">
        <f t="shared" si="20"/>
        <v>-809389.39312677982</v>
      </c>
      <c r="T48" s="246">
        <f t="shared" si="21"/>
        <v>-151248.23053930348</v>
      </c>
      <c r="U48" s="239">
        <f t="shared" si="10"/>
        <v>-4600985.1547526643</v>
      </c>
    </row>
    <row r="49" spans="2:21" x14ac:dyDescent="0.25">
      <c r="B49" s="29">
        <v>2030</v>
      </c>
      <c r="C49" s="30">
        <f t="shared" si="23"/>
        <v>0</v>
      </c>
      <c r="D49" s="30">
        <f t="shared" si="24"/>
        <v>9593669.7004722971</v>
      </c>
      <c r="E49" s="31">
        <f t="shared" si="11"/>
        <v>-9593669.7004722971</v>
      </c>
      <c r="G49" s="29">
        <v>2030</v>
      </c>
      <c r="H49" s="241">
        <f t="shared" si="22"/>
        <v>-9.5936697004722973</v>
      </c>
      <c r="I49" s="242">
        <f t="shared" si="12"/>
        <v>1.9516457780352287E-2</v>
      </c>
      <c r="J49" s="242">
        <f t="shared" si="13"/>
        <v>9.2196103206931473E-2</v>
      </c>
      <c r="K49" s="242">
        <f t="shared" si="14"/>
        <v>0.59197908496591467</v>
      </c>
      <c r="L49" s="242">
        <f t="shared" si="15"/>
        <v>0.64326440173276378</v>
      </c>
      <c r="M49" s="243">
        <f t="shared" si="16"/>
        <v>2.4279934252191104</v>
      </c>
      <c r="O49" s="238">
        <v>2030</v>
      </c>
      <c r="P49" s="244">
        <f t="shared" si="17"/>
        <v>-1990943.105593116</v>
      </c>
      <c r="Q49" s="245">
        <f t="shared" si="18"/>
        <v>-502357.53577097843</v>
      </c>
      <c r="R49" s="245">
        <f t="shared" si="19"/>
        <v>-1180815.6630299834</v>
      </c>
      <c r="S49" s="245">
        <f t="shared" si="20"/>
        <v>-816897.491378551</v>
      </c>
      <c r="T49" s="246">
        <f t="shared" si="21"/>
        <v>-152651.24691799446</v>
      </c>
      <c r="U49" s="239">
        <f t="shared" si="10"/>
        <v>-4643665.0426906236</v>
      </c>
    </row>
    <row r="50" spans="2:21" x14ac:dyDescent="0.25">
      <c r="B50" s="29">
        <v>2031</v>
      </c>
      <c r="C50" s="30">
        <f t="shared" si="23"/>
        <v>0</v>
      </c>
      <c r="D50" s="30">
        <f t="shared" si="24"/>
        <v>9681845.0412786845</v>
      </c>
      <c r="E50" s="31">
        <f t="shared" si="11"/>
        <v>-9681845.0412786845</v>
      </c>
      <c r="G50" s="29">
        <v>2031</v>
      </c>
      <c r="H50" s="241">
        <f t="shared" si="22"/>
        <v>-9.6818450412786845</v>
      </c>
      <c r="I50" s="242">
        <f t="shared" si="12"/>
        <v>1.9516457780352287E-2</v>
      </c>
      <c r="J50" s="242">
        <f t="shared" si="13"/>
        <v>9.2196103206931473E-2</v>
      </c>
      <c r="K50" s="242">
        <f t="shared" si="14"/>
        <v>0.59197908496591467</v>
      </c>
      <c r="L50" s="242">
        <f t="shared" si="15"/>
        <v>0.64326440173276378</v>
      </c>
      <c r="M50" s="243">
        <f t="shared" si="16"/>
        <v>2.4279934252191104</v>
      </c>
      <c r="O50" s="238">
        <v>2031</v>
      </c>
      <c r="P50" s="244">
        <f t="shared" si="17"/>
        <v>-2009241.847611841</v>
      </c>
      <c r="Q50" s="245">
        <f t="shared" si="18"/>
        <v>-506974.69982876146</v>
      </c>
      <c r="R50" s="245">
        <f t="shared" si="19"/>
        <v>-1191668.5302609727</v>
      </c>
      <c r="S50" s="245">
        <f t="shared" si="20"/>
        <v>-824405.58963032218</v>
      </c>
      <c r="T50" s="246">
        <f t="shared" si="21"/>
        <v>-154054.26329668544</v>
      </c>
      <c r="U50" s="239">
        <f t="shared" si="10"/>
        <v>-4686344.9306285828</v>
      </c>
    </row>
    <row r="51" spans="2:21" x14ac:dyDescent="0.25">
      <c r="B51" s="29">
        <v>2032</v>
      </c>
      <c r="C51" s="30">
        <f t="shared" si="23"/>
        <v>0</v>
      </c>
      <c r="D51" s="30">
        <f t="shared" si="24"/>
        <v>9770020.3820850719</v>
      </c>
      <c r="E51" s="31">
        <f t="shared" si="11"/>
        <v>-9770020.3820850719</v>
      </c>
      <c r="G51" s="29">
        <v>2032</v>
      </c>
      <c r="H51" s="241">
        <f t="shared" si="22"/>
        <v>-9.7700203820850717</v>
      </c>
      <c r="I51" s="242">
        <f t="shared" si="12"/>
        <v>1.9516457780352287E-2</v>
      </c>
      <c r="J51" s="242">
        <f t="shared" si="13"/>
        <v>9.2196103206931473E-2</v>
      </c>
      <c r="K51" s="242">
        <f t="shared" si="14"/>
        <v>0.59197908496591467</v>
      </c>
      <c r="L51" s="242">
        <f t="shared" si="15"/>
        <v>0.64326440173276378</v>
      </c>
      <c r="M51" s="243">
        <f t="shared" si="16"/>
        <v>2.4279934252191104</v>
      </c>
      <c r="O51" s="238">
        <v>2032</v>
      </c>
      <c r="P51" s="244">
        <f t="shared" si="17"/>
        <v>-2027540.5896305658</v>
      </c>
      <c r="Q51" s="245">
        <f t="shared" si="18"/>
        <v>-511591.86388654454</v>
      </c>
      <c r="R51" s="245">
        <f t="shared" si="19"/>
        <v>-1202521.3974919617</v>
      </c>
      <c r="S51" s="245">
        <f t="shared" si="20"/>
        <v>-831913.68788209336</v>
      </c>
      <c r="T51" s="246">
        <f t="shared" si="21"/>
        <v>-155457.27967537646</v>
      </c>
      <c r="U51" s="239">
        <f t="shared" si="10"/>
        <v>-4729024.8185665421</v>
      </c>
    </row>
    <row r="52" spans="2:21" x14ac:dyDescent="0.25">
      <c r="B52" s="29">
        <v>2033</v>
      </c>
      <c r="C52" s="30">
        <f t="shared" si="23"/>
        <v>0</v>
      </c>
      <c r="D52" s="30">
        <f t="shared" si="24"/>
        <v>9858195.7228914592</v>
      </c>
      <c r="E52" s="31">
        <f t="shared" si="11"/>
        <v>-9858195.7228914592</v>
      </c>
      <c r="G52" s="29">
        <v>2033</v>
      </c>
      <c r="H52" s="241">
        <f t="shared" si="22"/>
        <v>-9.858195722891459</v>
      </c>
      <c r="I52" s="242">
        <f t="shared" si="12"/>
        <v>1.9516457780352287E-2</v>
      </c>
      <c r="J52" s="242">
        <f t="shared" si="13"/>
        <v>9.2196103206931473E-2</v>
      </c>
      <c r="K52" s="242">
        <f t="shared" si="14"/>
        <v>0.59197908496591467</v>
      </c>
      <c r="L52" s="242">
        <f t="shared" si="15"/>
        <v>0.64326440173276378</v>
      </c>
      <c r="M52" s="243">
        <f t="shared" si="16"/>
        <v>2.4279934252191104</v>
      </c>
      <c r="O52" s="238">
        <v>2033</v>
      </c>
      <c r="P52" s="244">
        <f t="shared" si="17"/>
        <v>-2045839.3316492909</v>
      </c>
      <c r="Q52" s="245">
        <f t="shared" si="18"/>
        <v>-516209.02794432756</v>
      </c>
      <c r="R52" s="245">
        <f t="shared" si="19"/>
        <v>-1213374.2647229508</v>
      </c>
      <c r="S52" s="245">
        <f t="shared" si="20"/>
        <v>-839421.78613386455</v>
      </c>
      <c r="T52" s="246">
        <f t="shared" si="21"/>
        <v>-156860.29605406744</v>
      </c>
      <c r="U52" s="239">
        <f t="shared" si="10"/>
        <v>-4771704.7065045014</v>
      </c>
    </row>
    <row r="53" spans="2:21" x14ac:dyDescent="0.25">
      <c r="B53" s="29">
        <v>2034</v>
      </c>
      <c r="C53" s="30">
        <f t="shared" si="23"/>
        <v>0</v>
      </c>
      <c r="D53" s="30">
        <f t="shared" si="24"/>
        <v>9946371.0636978466</v>
      </c>
      <c r="E53" s="31">
        <f t="shared" si="11"/>
        <v>-9946371.0636978466</v>
      </c>
      <c r="G53" s="29">
        <v>2034</v>
      </c>
      <c r="H53" s="241">
        <f t="shared" si="22"/>
        <v>-9.9463710636978462</v>
      </c>
      <c r="I53" s="242">
        <f t="shared" si="12"/>
        <v>1.9516457780352287E-2</v>
      </c>
      <c r="J53" s="242">
        <f t="shared" si="13"/>
        <v>9.2196103206931473E-2</v>
      </c>
      <c r="K53" s="242">
        <f t="shared" si="14"/>
        <v>0.59197908496591467</v>
      </c>
      <c r="L53" s="242">
        <f t="shared" si="15"/>
        <v>0.64326440173276378</v>
      </c>
      <c r="M53" s="243">
        <f t="shared" si="16"/>
        <v>2.4279934252191104</v>
      </c>
      <c r="O53" s="238">
        <v>2034</v>
      </c>
      <c r="P53" s="244">
        <f t="shared" si="17"/>
        <v>-2064138.0736680157</v>
      </c>
      <c r="Q53" s="245">
        <f t="shared" si="18"/>
        <v>-520826.19200211059</v>
      </c>
      <c r="R53" s="245">
        <f t="shared" si="19"/>
        <v>-1224227.13195394</v>
      </c>
      <c r="S53" s="245">
        <f t="shared" si="20"/>
        <v>-846929.88438563584</v>
      </c>
      <c r="T53" s="246">
        <f t="shared" si="21"/>
        <v>-158263.31243275842</v>
      </c>
      <c r="U53" s="239">
        <f t="shared" si="10"/>
        <v>-4814384.5944424607</v>
      </c>
    </row>
    <row r="54" spans="2:21" x14ac:dyDescent="0.25">
      <c r="B54" s="29">
        <v>2035</v>
      </c>
      <c r="C54" s="30">
        <f t="shared" si="23"/>
        <v>0</v>
      </c>
      <c r="D54" s="30">
        <f t="shared" si="24"/>
        <v>10034546.404504234</v>
      </c>
      <c r="E54" s="31">
        <f t="shared" si="11"/>
        <v>-10034546.404504234</v>
      </c>
      <c r="G54" s="29">
        <v>2035</v>
      </c>
      <c r="H54" s="241">
        <f t="shared" si="22"/>
        <v>-10.034546404504233</v>
      </c>
      <c r="I54" s="242">
        <f t="shared" si="12"/>
        <v>1.9516457780352287E-2</v>
      </c>
      <c r="J54" s="242">
        <f t="shared" si="13"/>
        <v>9.2196103206931473E-2</v>
      </c>
      <c r="K54" s="242">
        <f t="shared" si="14"/>
        <v>0.59197908496591467</v>
      </c>
      <c r="L54" s="242">
        <f t="shared" si="15"/>
        <v>0.64326440173276378</v>
      </c>
      <c r="M54" s="243">
        <f t="shared" si="16"/>
        <v>2.4279934252191104</v>
      </c>
      <c r="O54" s="238">
        <v>2035</v>
      </c>
      <c r="P54" s="244">
        <f t="shared" si="17"/>
        <v>-2082436.8156867404</v>
      </c>
      <c r="Q54" s="245">
        <f t="shared" si="18"/>
        <v>-525443.35605989362</v>
      </c>
      <c r="R54" s="245">
        <f t="shared" si="19"/>
        <v>-1235079.9991849291</v>
      </c>
      <c r="S54" s="245">
        <f t="shared" si="20"/>
        <v>-854437.98263740714</v>
      </c>
      <c r="T54" s="246">
        <f t="shared" si="21"/>
        <v>-159666.32881144944</v>
      </c>
      <c r="U54" s="239">
        <f t="shared" si="10"/>
        <v>-4857064.482380419</v>
      </c>
    </row>
    <row r="55" spans="2:21" x14ac:dyDescent="0.25">
      <c r="B55" s="29">
        <v>2036</v>
      </c>
      <c r="C55" s="30">
        <f t="shared" si="23"/>
        <v>0</v>
      </c>
      <c r="D55" s="30">
        <f t="shared" si="24"/>
        <v>10122721.745310621</v>
      </c>
      <c r="E55" s="31">
        <f t="shared" si="11"/>
        <v>-10122721.745310621</v>
      </c>
      <c r="G55" s="29">
        <v>2036</v>
      </c>
      <c r="H55" s="241">
        <f t="shared" si="22"/>
        <v>-10.122721745310621</v>
      </c>
      <c r="I55" s="242">
        <f t="shared" si="12"/>
        <v>1.9516457780352287E-2</v>
      </c>
      <c r="J55" s="242">
        <f t="shared" si="13"/>
        <v>9.2196103206931473E-2</v>
      </c>
      <c r="K55" s="242">
        <f t="shared" si="14"/>
        <v>0.59197908496591467</v>
      </c>
      <c r="L55" s="242">
        <f t="shared" si="15"/>
        <v>0.64326440173276378</v>
      </c>
      <c r="M55" s="243">
        <f t="shared" si="16"/>
        <v>2.4279934252191104</v>
      </c>
      <c r="O55" s="238">
        <v>2036</v>
      </c>
      <c r="P55" s="244">
        <f t="shared" si="17"/>
        <v>-2100735.5577054652</v>
      </c>
      <c r="Q55" s="245">
        <f t="shared" si="18"/>
        <v>-530060.5201176767</v>
      </c>
      <c r="R55" s="245">
        <f t="shared" si="19"/>
        <v>-1245932.8664159183</v>
      </c>
      <c r="S55" s="245">
        <f t="shared" si="20"/>
        <v>-861946.08088917832</v>
      </c>
      <c r="T55" s="246">
        <f t="shared" si="21"/>
        <v>-161069.34519014039</v>
      </c>
      <c r="U55" s="239">
        <f t="shared" si="10"/>
        <v>-4899744.3703183793</v>
      </c>
    </row>
    <row r="56" spans="2:21" x14ac:dyDescent="0.25">
      <c r="B56" s="29">
        <v>2037</v>
      </c>
      <c r="C56" s="30">
        <f t="shared" si="23"/>
        <v>0</v>
      </c>
      <c r="D56" s="30">
        <f t="shared" si="24"/>
        <v>10210897.086117009</v>
      </c>
      <c r="E56" s="31">
        <f t="shared" si="11"/>
        <v>-10210897.086117009</v>
      </c>
      <c r="G56" s="29">
        <v>2037</v>
      </c>
      <c r="H56" s="241">
        <f t="shared" si="22"/>
        <v>-10.210897086117008</v>
      </c>
      <c r="I56" s="242">
        <f t="shared" si="12"/>
        <v>1.9516457780352287E-2</v>
      </c>
      <c r="J56" s="242">
        <f t="shared" si="13"/>
        <v>9.2196103206931473E-2</v>
      </c>
      <c r="K56" s="242">
        <f t="shared" si="14"/>
        <v>0.59197908496591467</v>
      </c>
      <c r="L56" s="242">
        <f t="shared" si="15"/>
        <v>0.64326440173276378</v>
      </c>
      <c r="M56" s="243">
        <f t="shared" si="16"/>
        <v>2.4279934252191104</v>
      </c>
      <c r="O56" s="238">
        <v>2037</v>
      </c>
      <c r="P56" s="244">
        <f t="shared" si="17"/>
        <v>-2119034.29972419</v>
      </c>
      <c r="Q56" s="245">
        <f t="shared" si="18"/>
        <v>-534677.68417545967</v>
      </c>
      <c r="R56" s="245">
        <f t="shared" si="19"/>
        <v>-1256785.7336469074</v>
      </c>
      <c r="S56" s="245">
        <f t="shared" si="20"/>
        <v>-869454.17914094951</v>
      </c>
      <c r="T56" s="246">
        <f t="shared" si="21"/>
        <v>-162472.3615688314</v>
      </c>
      <c r="U56" s="239">
        <f t="shared" si="10"/>
        <v>-4942424.2582563385</v>
      </c>
    </row>
    <row r="57" spans="2:21" x14ac:dyDescent="0.25">
      <c r="B57" s="29">
        <v>2038</v>
      </c>
      <c r="C57" s="30">
        <f t="shared" si="23"/>
        <v>0</v>
      </c>
      <c r="D57" s="30">
        <f t="shared" si="24"/>
        <v>10299072.426923396</v>
      </c>
      <c r="E57" s="31">
        <f t="shared" si="11"/>
        <v>-10299072.426923396</v>
      </c>
      <c r="G57" s="29">
        <v>2038</v>
      </c>
      <c r="H57" s="241">
        <f t="shared" si="22"/>
        <v>-10.299072426923397</v>
      </c>
      <c r="I57" s="242">
        <f t="shared" si="12"/>
        <v>1.9516457780352287E-2</v>
      </c>
      <c r="J57" s="242">
        <f t="shared" si="13"/>
        <v>9.2196103206931473E-2</v>
      </c>
      <c r="K57" s="242">
        <f t="shared" si="14"/>
        <v>0.59197908496591467</v>
      </c>
      <c r="L57" s="242">
        <f t="shared" si="15"/>
        <v>0.64326440173276378</v>
      </c>
      <c r="M57" s="243">
        <f t="shared" si="16"/>
        <v>2.4279934252191104</v>
      </c>
      <c r="O57" s="238">
        <v>2038</v>
      </c>
      <c r="P57" s="244">
        <f t="shared" si="17"/>
        <v>-2137333.0417429153</v>
      </c>
      <c r="Q57" s="245">
        <f t="shared" si="18"/>
        <v>-539294.84823324287</v>
      </c>
      <c r="R57" s="245">
        <f t="shared" si="19"/>
        <v>-1267638.6008778964</v>
      </c>
      <c r="S57" s="245">
        <f t="shared" si="20"/>
        <v>-876962.2773927208</v>
      </c>
      <c r="T57" s="246">
        <f t="shared" si="21"/>
        <v>-163875.37794752241</v>
      </c>
      <c r="U57" s="239">
        <f t="shared" si="10"/>
        <v>-4985104.1461942978</v>
      </c>
    </row>
    <row r="58" spans="2:21" x14ac:dyDescent="0.25">
      <c r="B58" s="29">
        <v>2039</v>
      </c>
      <c r="C58" s="30">
        <f t="shared" si="23"/>
        <v>0</v>
      </c>
      <c r="D58" s="30">
        <f t="shared" si="24"/>
        <v>10387247.767729783</v>
      </c>
      <c r="E58" s="31">
        <f t="shared" si="11"/>
        <v>-10387247.767729783</v>
      </c>
      <c r="G58" s="29">
        <v>2039</v>
      </c>
      <c r="H58" s="241">
        <f t="shared" si="22"/>
        <v>-10.387247767729784</v>
      </c>
      <c r="I58" s="242">
        <f t="shared" si="12"/>
        <v>1.9516457780352287E-2</v>
      </c>
      <c r="J58" s="242">
        <f t="shared" si="13"/>
        <v>9.2196103206931473E-2</v>
      </c>
      <c r="K58" s="242">
        <f t="shared" si="14"/>
        <v>0.59197908496591467</v>
      </c>
      <c r="L58" s="242">
        <f t="shared" si="15"/>
        <v>0.64326440173276378</v>
      </c>
      <c r="M58" s="243">
        <f t="shared" si="16"/>
        <v>2.4279934252191104</v>
      </c>
      <c r="O58" s="238">
        <v>2039</v>
      </c>
      <c r="P58" s="244">
        <f t="shared" si="17"/>
        <v>-2155631.7837616405</v>
      </c>
      <c r="Q58" s="245">
        <f t="shared" si="18"/>
        <v>-543912.01229102584</v>
      </c>
      <c r="R58" s="245">
        <f t="shared" si="19"/>
        <v>-1278491.4681088857</v>
      </c>
      <c r="S58" s="245">
        <f t="shared" si="20"/>
        <v>-884470.3756444921</v>
      </c>
      <c r="T58" s="246">
        <f t="shared" si="21"/>
        <v>-165278.3943262134</v>
      </c>
      <c r="U58" s="239">
        <f t="shared" si="10"/>
        <v>-5027784.034132258</v>
      </c>
    </row>
    <row r="59" spans="2:21" x14ac:dyDescent="0.25">
      <c r="B59" s="29">
        <v>2040</v>
      </c>
      <c r="C59" s="30">
        <f t="shared" si="23"/>
        <v>0</v>
      </c>
      <c r="D59" s="30">
        <f t="shared" si="24"/>
        <v>10475423.108536171</v>
      </c>
      <c r="E59" s="31">
        <f t="shared" si="11"/>
        <v>-10475423.108536171</v>
      </c>
      <c r="G59" s="29">
        <v>2040</v>
      </c>
      <c r="H59" s="241">
        <f t="shared" si="22"/>
        <v>-10.475423108536171</v>
      </c>
      <c r="I59" s="242">
        <f t="shared" si="12"/>
        <v>1.9516457780352287E-2</v>
      </c>
      <c r="J59" s="242">
        <f t="shared" si="13"/>
        <v>9.2196103206931473E-2</v>
      </c>
      <c r="K59" s="242">
        <f t="shared" si="14"/>
        <v>0.59197908496591467</v>
      </c>
      <c r="L59" s="242">
        <f t="shared" si="15"/>
        <v>0.64326440173276378</v>
      </c>
      <c r="M59" s="243">
        <f t="shared" si="16"/>
        <v>2.4279934252191104</v>
      </c>
      <c r="O59" s="238">
        <v>2040</v>
      </c>
      <c r="P59" s="244">
        <f t="shared" si="17"/>
        <v>-2173930.5257803653</v>
      </c>
      <c r="Q59" s="245">
        <f t="shared" si="18"/>
        <v>-548529.17634880892</v>
      </c>
      <c r="R59" s="245">
        <f t="shared" si="19"/>
        <v>-1289344.3353398747</v>
      </c>
      <c r="S59" s="245">
        <f t="shared" si="20"/>
        <v>-891978.47389626328</v>
      </c>
      <c r="T59" s="246">
        <f t="shared" si="21"/>
        <v>-166681.41070490441</v>
      </c>
      <c r="U59" s="239">
        <f t="shared" si="10"/>
        <v>-5070463.9220702164</v>
      </c>
    </row>
    <row r="60" spans="2:21" ht="17.25" thickBot="1" x14ac:dyDescent="0.3">
      <c r="B60" s="71">
        <v>2041</v>
      </c>
      <c r="C60" s="33">
        <f>Traffic!S55*365</f>
        <v>0</v>
      </c>
      <c r="D60" s="33">
        <f>Traffic!AF55*365</f>
        <v>10563598.449342562</v>
      </c>
      <c r="E60" s="34">
        <f t="shared" si="11"/>
        <v>-10563598.449342562</v>
      </c>
      <c r="G60" s="71">
        <v>2041</v>
      </c>
      <c r="H60" s="241">
        <f t="shared" si="22"/>
        <v>-10.563598449342562</v>
      </c>
      <c r="I60" s="242">
        <f t="shared" si="12"/>
        <v>1.9516457780352287E-2</v>
      </c>
      <c r="J60" s="242">
        <f t="shared" si="13"/>
        <v>9.2196103206931473E-2</v>
      </c>
      <c r="K60" s="242">
        <f t="shared" si="14"/>
        <v>0.59197908496591467</v>
      </c>
      <c r="L60" s="242">
        <f t="shared" si="15"/>
        <v>0.64326440173276378</v>
      </c>
      <c r="M60" s="243">
        <f t="shared" si="16"/>
        <v>2.4279934252191104</v>
      </c>
      <c r="O60" s="249">
        <v>2041</v>
      </c>
      <c r="P60" s="250">
        <f t="shared" si="17"/>
        <v>-2192229.2677990906</v>
      </c>
      <c r="Q60" s="251">
        <f t="shared" si="18"/>
        <v>-553146.34040659212</v>
      </c>
      <c r="R60" s="251">
        <f t="shared" si="19"/>
        <v>-1300197.2025708642</v>
      </c>
      <c r="S60" s="251">
        <f t="shared" si="20"/>
        <v>-899486.5721480347</v>
      </c>
      <c r="T60" s="252">
        <f t="shared" si="21"/>
        <v>-168084.42708359545</v>
      </c>
      <c r="U60" s="253">
        <f t="shared" si="10"/>
        <v>-5113143.8100081766</v>
      </c>
    </row>
    <row r="61" spans="2:21" ht="16.5" customHeight="1" x14ac:dyDescent="0.25">
      <c r="G61" s="307"/>
      <c r="H61" s="307"/>
      <c r="I61" s="307"/>
      <c r="J61" s="307"/>
      <c r="K61" s="307"/>
      <c r="L61" s="307"/>
      <c r="M61" s="307"/>
      <c r="O61" s="308"/>
      <c r="P61" s="308"/>
      <c r="Q61" s="308"/>
      <c r="R61" s="308"/>
      <c r="S61" s="308"/>
      <c r="T61" s="308"/>
      <c r="U61" s="255"/>
    </row>
    <row r="62" spans="2:21" ht="16.5" customHeight="1" x14ac:dyDescent="0.25">
      <c r="G62" s="41"/>
      <c r="H62" s="41"/>
      <c r="I62" s="41"/>
      <c r="J62" s="41"/>
      <c r="K62" s="41"/>
      <c r="L62" s="41"/>
      <c r="M62" s="41"/>
      <c r="O62" s="309"/>
      <c r="P62" s="309"/>
      <c r="Q62" s="309"/>
      <c r="R62" s="309"/>
      <c r="S62" s="309"/>
      <c r="T62" s="309"/>
      <c r="U62" s="256"/>
    </row>
    <row r="63" spans="2:21" s="314" customFormat="1" ht="34.5" customHeight="1" thickBot="1" x14ac:dyDescent="0.3">
      <c r="B63" s="186" t="s">
        <v>245</v>
      </c>
      <c r="C63" s="186"/>
      <c r="D63" s="186"/>
      <c r="E63" s="186"/>
      <c r="G63" s="185" t="s">
        <v>246</v>
      </c>
      <c r="H63" s="185"/>
      <c r="I63" s="185"/>
      <c r="J63" s="185"/>
      <c r="K63" s="185"/>
      <c r="L63" s="185"/>
      <c r="M63" s="185"/>
      <c r="O63" s="344" t="s">
        <v>247</v>
      </c>
      <c r="P63" s="344"/>
      <c r="Q63" s="344"/>
      <c r="R63" s="344"/>
      <c r="S63" s="344"/>
      <c r="T63" s="344"/>
      <c r="U63" s="344"/>
    </row>
    <row r="64" spans="2:21" ht="16.5" customHeight="1" x14ac:dyDescent="0.25">
      <c r="B64" s="148" t="s">
        <v>19</v>
      </c>
      <c r="C64" s="150" t="s">
        <v>225</v>
      </c>
      <c r="D64" s="150" t="s">
        <v>224</v>
      </c>
      <c r="E64" s="152" t="s">
        <v>47</v>
      </c>
      <c r="G64" s="155" t="s">
        <v>19</v>
      </c>
      <c r="H64" s="157" t="s">
        <v>79</v>
      </c>
      <c r="I64" s="226" t="s">
        <v>81</v>
      </c>
      <c r="J64" s="226"/>
      <c r="K64" s="226"/>
      <c r="L64" s="226"/>
      <c r="M64" s="227"/>
      <c r="O64" s="168" t="s">
        <v>19</v>
      </c>
      <c r="P64" s="228" t="s">
        <v>78</v>
      </c>
      <c r="Q64" s="229"/>
      <c r="R64" s="229"/>
      <c r="S64" s="229"/>
      <c r="T64" s="230"/>
      <c r="U64" s="179" t="s">
        <v>80</v>
      </c>
    </row>
    <row r="65" spans="2:21" ht="15" customHeight="1" thickBot="1" x14ac:dyDescent="0.3">
      <c r="B65" s="149"/>
      <c r="C65" s="151"/>
      <c r="D65" s="151"/>
      <c r="E65" s="153"/>
      <c r="G65" s="156"/>
      <c r="H65" s="158"/>
      <c r="I65" s="231" t="s">
        <v>21</v>
      </c>
      <c r="J65" s="231" t="s">
        <v>22</v>
      </c>
      <c r="K65" s="231" t="s">
        <v>23</v>
      </c>
      <c r="L65" s="231" t="s">
        <v>24</v>
      </c>
      <c r="M65" s="232" t="s">
        <v>25</v>
      </c>
      <c r="O65" s="169"/>
      <c r="P65" s="233" t="s">
        <v>21</v>
      </c>
      <c r="Q65" s="233" t="s">
        <v>22</v>
      </c>
      <c r="R65" s="233" t="s">
        <v>23</v>
      </c>
      <c r="S65" s="233" t="s">
        <v>24</v>
      </c>
      <c r="T65" s="234" t="s">
        <v>25</v>
      </c>
      <c r="U65" s="180"/>
    </row>
    <row r="66" spans="2:21" ht="14.45" customHeight="1" x14ac:dyDescent="0.25">
      <c r="B66" s="111">
        <v>2017</v>
      </c>
      <c r="C66" s="132" t="s">
        <v>60</v>
      </c>
      <c r="D66" s="133"/>
      <c r="E66" s="134"/>
      <c r="G66" s="70">
        <v>2017</v>
      </c>
      <c r="H66" s="159" t="s">
        <v>60</v>
      </c>
      <c r="I66" s="160"/>
      <c r="J66" s="160"/>
      <c r="K66" s="160"/>
      <c r="L66" s="160"/>
      <c r="M66" s="161"/>
      <c r="O66" s="235">
        <v>2017</v>
      </c>
      <c r="P66" s="170" t="s">
        <v>60</v>
      </c>
      <c r="Q66" s="171"/>
      <c r="R66" s="171"/>
      <c r="S66" s="171"/>
      <c r="T66" s="172"/>
      <c r="U66" s="236">
        <f>SUM(P66:T66)</f>
        <v>0</v>
      </c>
    </row>
    <row r="67" spans="2:21" ht="14.45" customHeight="1" x14ac:dyDescent="0.25">
      <c r="B67" s="29">
        <v>2018</v>
      </c>
      <c r="C67" s="132"/>
      <c r="D67" s="133"/>
      <c r="E67" s="134"/>
      <c r="G67" s="29">
        <v>2018</v>
      </c>
      <c r="H67" s="162"/>
      <c r="I67" s="163"/>
      <c r="J67" s="163"/>
      <c r="K67" s="163"/>
      <c r="L67" s="163"/>
      <c r="M67" s="164"/>
      <c r="O67" s="238">
        <v>2018</v>
      </c>
      <c r="P67" s="173"/>
      <c r="Q67" s="174"/>
      <c r="R67" s="174"/>
      <c r="S67" s="174"/>
      <c r="T67" s="175"/>
      <c r="U67" s="239">
        <f t="shared" ref="U67:U90" si="25">SUM(P67:T67)</f>
        <v>0</v>
      </c>
    </row>
    <row r="68" spans="2:21" ht="14.45" customHeight="1" x14ac:dyDescent="0.25">
      <c r="B68" s="29">
        <v>2019</v>
      </c>
      <c r="C68" s="132"/>
      <c r="D68" s="133"/>
      <c r="E68" s="134"/>
      <c r="G68" s="29">
        <v>2019</v>
      </c>
      <c r="H68" s="162"/>
      <c r="I68" s="163"/>
      <c r="J68" s="163"/>
      <c r="K68" s="163"/>
      <c r="L68" s="163"/>
      <c r="M68" s="164"/>
      <c r="O68" s="238">
        <v>2019</v>
      </c>
      <c r="P68" s="173"/>
      <c r="Q68" s="174"/>
      <c r="R68" s="174"/>
      <c r="S68" s="174"/>
      <c r="T68" s="175"/>
      <c r="U68" s="239">
        <f t="shared" si="25"/>
        <v>0</v>
      </c>
    </row>
    <row r="69" spans="2:21" ht="14.45" customHeight="1" x14ac:dyDescent="0.25">
      <c r="B69" s="29">
        <v>2020</v>
      </c>
      <c r="C69" s="132"/>
      <c r="D69" s="133"/>
      <c r="E69" s="134"/>
      <c r="G69" s="29">
        <v>2020</v>
      </c>
      <c r="H69" s="162"/>
      <c r="I69" s="163"/>
      <c r="J69" s="163"/>
      <c r="K69" s="163"/>
      <c r="L69" s="163"/>
      <c r="M69" s="164"/>
      <c r="O69" s="238">
        <v>2020</v>
      </c>
      <c r="P69" s="173"/>
      <c r="Q69" s="174"/>
      <c r="R69" s="174"/>
      <c r="S69" s="174"/>
      <c r="T69" s="175"/>
      <c r="U69" s="239">
        <f t="shared" si="25"/>
        <v>0</v>
      </c>
    </row>
    <row r="70" spans="2:21" ht="14.45" customHeight="1" x14ac:dyDescent="0.25">
      <c r="B70" s="29">
        <v>2021</v>
      </c>
      <c r="C70" s="135"/>
      <c r="D70" s="136"/>
      <c r="E70" s="137"/>
      <c r="G70" s="29">
        <v>2021</v>
      </c>
      <c r="H70" s="165"/>
      <c r="I70" s="166"/>
      <c r="J70" s="166"/>
      <c r="K70" s="166"/>
      <c r="L70" s="166"/>
      <c r="M70" s="167"/>
      <c r="O70" s="238">
        <v>2021</v>
      </c>
      <c r="P70" s="176"/>
      <c r="Q70" s="177"/>
      <c r="R70" s="177"/>
      <c r="S70" s="177"/>
      <c r="T70" s="178"/>
      <c r="U70" s="239">
        <f t="shared" si="25"/>
        <v>0</v>
      </c>
    </row>
    <row r="71" spans="2:21" x14ac:dyDescent="0.25">
      <c r="B71" s="29">
        <v>2022</v>
      </c>
      <c r="C71" s="30">
        <f>Traffic!R48*365</f>
        <v>12406119.910376843</v>
      </c>
      <c r="D71" s="30">
        <f>Traffic!AE48*365</f>
        <v>16979263.686468873</v>
      </c>
      <c r="E71" s="31">
        <f t="shared" ref="E71:E90" si="26">C71-D71</f>
        <v>-4573143.7760920301</v>
      </c>
      <c r="G71" s="29">
        <v>2022</v>
      </c>
      <c r="H71" s="241">
        <f>E71/1000000</f>
        <v>-4.5731437760920297</v>
      </c>
      <c r="I71" s="242">
        <f t="shared" ref="I71:I90" si="27">$J$215</f>
        <v>6.3473223650552749E-3</v>
      </c>
      <c r="J71" s="242">
        <f t="shared" ref="J71:J90" si="28">$J$216</f>
        <v>2.9286970528884439E-2</v>
      </c>
      <c r="K71" s="242">
        <f t="shared" ref="K71:K90" si="29">$J$217</f>
        <v>0.33405545382989976</v>
      </c>
      <c r="L71" s="242">
        <f t="shared" ref="L71:L90" si="30">$J$218</f>
        <v>0.36299590156268818</v>
      </c>
      <c r="M71" s="243">
        <f t="shared" ref="M71:M90" si="31">$J$219</f>
        <v>1.3701234826637225</v>
      </c>
      <c r="O71" s="238">
        <v>2022</v>
      </c>
      <c r="P71" s="244">
        <f t="shared" ref="P71:P90" si="32">$H71*$I71*$O$215</f>
        <v>-308658.68537253886</v>
      </c>
      <c r="Q71" s="245">
        <f t="shared" ref="Q71:Q90" si="33">$H71*$J71*$O$216</f>
        <v>-76068.508252844331</v>
      </c>
      <c r="R71" s="245">
        <f t="shared" ref="R71:R90" si="34">$H71*$K71*$O$217</f>
        <v>-317632.11180499272</v>
      </c>
      <c r="S71" s="245">
        <f t="shared" ref="S71:S90" si="35">$H71*$L71*$O$218</f>
        <v>-219740.37391150481</v>
      </c>
      <c r="T71" s="246">
        <f t="shared" ref="T71:T90" si="36">$H71*$M71*$O$219</f>
        <v>-41062.241505003461</v>
      </c>
      <c r="U71" s="239">
        <f t="shared" si="25"/>
        <v>-963161.92084688426</v>
      </c>
    </row>
    <row r="72" spans="2:21" x14ac:dyDescent="0.25">
      <c r="B72" s="29">
        <v>2023</v>
      </c>
      <c r="C72" s="30">
        <f>($C$90-$C$71)/19+C71</f>
        <v>12553902.853536963</v>
      </c>
      <c r="D72" s="30">
        <f>($D$90-$D$71)/19+D71</f>
        <v>17169540.766763587</v>
      </c>
      <c r="E72" s="31">
        <f t="shared" si="26"/>
        <v>-4615637.9132266231</v>
      </c>
      <c r="G72" s="29">
        <v>2023</v>
      </c>
      <c r="H72" s="241">
        <f t="shared" ref="H72:H90" si="37">E72/1000000</f>
        <v>-4.6156379132266228</v>
      </c>
      <c r="I72" s="242">
        <f t="shared" si="27"/>
        <v>6.3473223650552749E-3</v>
      </c>
      <c r="J72" s="242">
        <f t="shared" si="28"/>
        <v>2.9286970528884439E-2</v>
      </c>
      <c r="K72" s="242">
        <f t="shared" si="29"/>
        <v>0.33405545382989976</v>
      </c>
      <c r="L72" s="242">
        <f t="shared" si="30"/>
        <v>0.36299590156268818</v>
      </c>
      <c r="M72" s="243">
        <f t="shared" si="31"/>
        <v>1.3701234826637225</v>
      </c>
      <c r="O72" s="238">
        <v>2023</v>
      </c>
      <c r="P72" s="244">
        <f t="shared" si="32"/>
        <v>-311526.77462277719</v>
      </c>
      <c r="Q72" s="245">
        <f t="shared" si="33"/>
        <v>-76775.344901676421</v>
      </c>
      <c r="R72" s="245">
        <f t="shared" si="34"/>
        <v>-320583.58308563678</v>
      </c>
      <c r="S72" s="245">
        <f t="shared" si="35"/>
        <v>-221782.22477825839</v>
      </c>
      <c r="T72" s="246">
        <f t="shared" si="36"/>
        <v>-41443.79620938201</v>
      </c>
      <c r="U72" s="239">
        <f t="shared" si="25"/>
        <v>-972111.72359773074</v>
      </c>
    </row>
    <row r="73" spans="2:21" x14ac:dyDescent="0.25">
      <c r="B73" s="29">
        <v>2024</v>
      </c>
      <c r="C73" s="30">
        <f t="shared" ref="C73:C89" si="38">($C$90-$C$71)/19+C72</f>
        <v>12701685.796697084</v>
      </c>
      <c r="D73" s="30">
        <f t="shared" ref="D73:D89" si="39">($D$90-$D$71)/19+D72</f>
        <v>17359817.8470583</v>
      </c>
      <c r="E73" s="31">
        <f t="shared" si="26"/>
        <v>-4658132.0503612161</v>
      </c>
      <c r="G73" s="29">
        <v>2024</v>
      </c>
      <c r="H73" s="241">
        <f t="shared" si="37"/>
        <v>-4.6581320503612158</v>
      </c>
      <c r="I73" s="242">
        <f t="shared" si="27"/>
        <v>6.3473223650552749E-3</v>
      </c>
      <c r="J73" s="242">
        <f t="shared" si="28"/>
        <v>2.9286970528884439E-2</v>
      </c>
      <c r="K73" s="242">
        <f t="shared" si="29"/>
        <v>0.33405545382989976</v>
      </c>
      <c r="L73" s="242">
        <f t="shared" si="30"/>
        <v>0.36299590156268818</v>
      </c>
      <c r="M73" s="243">
        <f t="shared" si="31"/>
        <v>1.3701234826637225</v>
      </c>
      <c r="O73" s="238">
        <v>2024</v>
      </c>
      <c r="P73" s="244">
        <f t="shared" si="32"/>
        <v>-314394.86387301557</v>
      </c>
      <c r="Q73" s="245">
        <f t="shared" si="33"/>
        <v>-77482.181550508525</v>
      </c>
      <c r="R73" s="245">
        <f t="shared" si="34"/>
        <v>-323535.05436628085</v>
      </c>
      <c r="S73" s="245">
        <f t="shared" si="35"/>
        <v>-223824.07564501194</v>
      </c>
      <c r="T73" s="246">
        <f t="shared" si="36"/>
        <v>-41825.350913760558</v>
      </c>
      <c r="U73" s="239">
        <f t="shared" si="25"/>
        <v>-981061.52634857758</v>
      </c>
    </row>
    <row r="74" spans="2:21" x14ac:dyDescent="0.25">
      <c r="B74" s="29">
        <v>2025</v>
      </c>
      <c r="C74" s="30">
        <f t="shared" si="38"/>
        <v>12849468.739857204</v>
      </c>
      <c r="D74" s="30">
        <f t="shared" si="39"/>
        <v>17550094.927353013</v>
      </c>
      <c r="E74" s="31">
        <f t="shared" si="26"/>
        <v>-4700626.187495809</v>
      </c>
      <c r="G74" s="29">
        <v>2025</v>
      </c>
      <c r="H74" s="241">
        <f t="shared" si="37"/>
        <v>-4.7006261874958088</v>
      </c>
      <c r="I74" s="242">
        <f t="shared" si="27"/>
        <v>6.3473223650552749E-3</v>
      </c>
      <c r="J74" s="242">
        <f t="shared" si="28"/>
        <v>2.9286970528884439E-2</v>
      </c>
      <c r="K74" s="242">
        <f t="shared" si="29"/>
        <v>0.33405545382989976</v>
      </c>
      <c r="L74" s="242">
        <f t="shared" si="30"/>
        <v>0.36299590156268818</v>
      </c>
      <c r="M74" s="243">
        <f t="shared" si="31"/>
        <v>1.3701234826637225</v>
      </c>
      <c r="O74" s="238">
        <v>2025</v>
      </c>
      <c r="P74" s="244">
        <f t="shared" si="32"/>
        <v>-317262.95312325389</v>
      </c>
      <c r="Q74" s="245">
        <f t="shared" si="33"/>
        <v>-78189.01819934063</v>
      </c>
      <c r="R74" s="245">
        <f t="shared" si="34"/>
        <v>-326486.52564692491</v>
      </c>
      <c r="S74" s="245">
        <f t="shared" si="35"/>
        <v>-225865.92651176552</v>
      </c>
      <c r="T74" s="246">
        <f t="shared" si="36"/>
        <v>-42206.905618139106</v>
      </c>
      <c r="U74" s="239">
        <f t="shared" si="25"/>
        <v>-990011.32909942395</v>
      </c>
    </row>
    <row r="75" spans="2:21" x14ac:dyDescent="0.25">
      <c r="B75" s="29">
        <v>2026</v>
      </c>
      <c r="C75" s="30">
        <f t="shared" si="38"/>
        <v>12997251.683017325</v>
      </c>
      <c r="D75" s="30">
        <f t="shared" si="39"/>
        <v>17740372.007647727</v>
      </c>
      <c r="E75" s="31">
        <f t="shared" si="26"/>
        <v>-4743120.324630402</v>
      </c>
      <c r="G75" s="29">
        <v>2026</v>
      </c>
      <c r="H75" s="241">
        <f t="shared" si="37"/>
        <v>-4.7431203246304019</v>
      </c>
      <c r="I75" s="242">
        <f t="shared" si="27"/>
        <v>6.3473223650552749E-3</v>
      </c>
      <c r="J75" s="242">
        <f t="shared" si="28"/>
        <v>2.9286970528884439E-2</v>
      </c>
      <c r="K75" s="242">
        <f t="shared" si="29"/>
        <v>0.33405545382989976</v>
      </c>
      <c r="L75" s="242">
        <f t="shared" si="30"/>
        <v>0.36299590156268818</v>
      </c>
      <c r="M75" s="243">
        <f t="shared" si="31"/>
        <v>1.3701234826637225</v>
      </c>
      <c r="O75" s="238">
        <v>2026</v>
      </c>
      <c r="P75" s="244">
        <f t="shared" si="32"/>
        <v>-320131.04237349221</v>
      </c>
      <c r="Q75" s="245">
        <f t="shared" si="33"/>
        <v>-78895.854848172748</v>
      </c>
      <c r="R75" s="245">
        <f t="shared" si="34"/>
        <v>-329437.99692756898</v>
      </c>
      <c r="S75" s="245">
        <f t="shared" si="35"/>
        <v>-227907.77737851909</v>
      </c>
      <c r="T75" s="246">
        <f t="shared" si="36"/>
        <v>-42588.460322517654</v>
      </c>
      <c r="U75" s="239">
        <f t="shared" si="25"/>
        <v>-998961.13185027067</v>
      </c>
    </row>
    <row r="76" spans="2:21" x14ac:dyDescent="0.25">
      <c r="B76" s="29">
        <v>2027</v>
      </c>
      <c r="C76" s="30">
        <f t="shared" si="38"/>
        <v>13145034.626177445</v>
      </c>
      <c r="D76" s="30">
        <f t="shared" si="39"/>
        <v>17930649.08794244</v>
      </c>
      <c r="E76" s="31">
        <f t="shared" si="26"/>
        <v>-4785614.461764995</v>
      </c>
      <c r="G76" s="29">
        <v>2027</v>
      </c>
      <c r="H76" s="241">
        <f t="shared" si="37"/>
        <v>-4.7856144617649949</v>
      </c>
      <c r="I76" s="242">
        <f t="shared" si="27"/>
        <v>6.3473223650552749E-3</v>
      </c>
      <c r="J76" s="242">
        <f t="shared" si="28"/>
        <v>2.9286970528884439E-2</v>
      </c>
      <c r="K76" s="242">
        <f t="shared" si="29"/>
        <v>0.33405545382989976</v>
      </c>
      <c r="L76" s="242">
        <f t="shared" si="30"/>
        <v>0.36299590156268818</v>
      </c>
      <c r="M76" s="243">
        <f t="shared" si="31"/>
        <v>1.3701234826637225</v>
      </c>
      <c r="O76" s="238">
        <v>2027</v>
      </c>
      <c r="P76" s="244">
        <f t="shared" si="32"/>
        <v>-322999.13162373053</v>
      </c>
      <c r="Q76" s="245">
        <f t="shared" si="33"/>
        <v>-79602.691497004838</v>
      </c>
      <c r="R76" s="245">
        <f t="shared" si="34"/>
        <v>-332389.46820821305</v>
      </c>
      <c r="S76" s="245">
        <f t="shared" si="35"/>
        <v>-229949.62824527267</v>
      </c>
      <c r="T76" s="246">
        <f t="shared" si="36"/>
        <v>-42970.01502689621</v>
      </c>
      <c r="U76" s="239">
        <f t="shared" si="25"/>
        <v>-1007910.9346011174</v>
      </c>
    </row>
    <row r="77" spans="2:21" x14ac:dyDescent="0.25">
      <c r="B77" s="29">
        <v>2028</v>
      </c>
      <c r="C77" s="30">
        <f t="shared" si="38"/>
        <v>13292817.569337565</v>
      </c>
      <c r="D77" s="30">
        <f t="shared" si="39"/>
        <v>18120926.168237153</v>
      </c>
      <c r="E77" s="31">
        <f t="shared" si="26"/>
        <v>-4828108.598899588</v>
      </c>
      <c r="G77" s="29">
        <v>2028</v>
      </c>
      <c r="H77" s="241">
        <f t="shared" si="37"/>
        <v>-4.828108598899588</v>
      </c>
      <c r="I77" s="242">
        <f t="shared" si="27"/>
        <v>6.3473223650552749E-3</v>
      </c>
      <c r="J77" s="242">
        <f t="shared" si="28"/>
        <v>2.9286970528884439E-2</v>
      </c>
      <c r="K77" s="242">
        <f t="shared" si="29"/>
        <v>0.33405545382989976</v>
      </c>
      <c r="L77" s="242">
        <f t="shared" si="30"/>
        <v>0.36299590156268818</v>
      </c>
      <c r="M77" s="243">
        <f t="shared" si="31"/>
        <v>1.3701234826637225</v>
      </c>
      <c r="O77" s="238">
        <v>2028</v>
      </c>
      <c r="P77" s="244">
        <f t="shared" si="32"/>
        <v>-325867.22087396885</v>
      </c>
      <c r="Q77" s="245">
        <f t="shared" si="33"/>
        <v>-80309.528145836943</v>
      </c>
      <c r="R77" s="245">
        <f t="shared" si="34"/>
        <v>-335340.93948885711</v>
      </c>
      <c r="S77" s="245">
        <f t="shared" si="35"/>
        <v>-231991.47911202625</v>
      </c>
      <c r="T77" s="246">
        <f t="shared" si="36"/>
        <v>-43351.569731274751</v>
      </c>
      <c r="U77" s="239">
        <f t="shared" si="25"/>
        <v>-1016860.7373519639</v>
      </c>
    </row>
    <row r="78" spans="2:21" x14ac:dyDescent="0.25">
      <c r="B78" s="29">
        <v>2029</v>
      </c>
      <c r="C78" s="30">
        <f t="shared" si="38"/>
        <v>13440600.512497686</v>
      </c>
      <c r="D78" s="30">
        <f t="shared" si="39"/>
        <v>18311203.248531867</v>
      </c>
      <c r="E78" s="31">
        <f t="shared" si="26"/>
        <v>-4870602.736034181</v>
      </c>
      <c r="G78" s="29">
        <v>2029</v>
      </c>
      <c r="H78" s="241">
        <f t="shared" si="37"/>
        <v>-4.870602736034181</v>
      </c>
      <c r="I78" s="242">
        <f t="shared" si="27"/>
        <v>6.3473223650552749E-3</v>
      </c>
      <c r="J78" s="242">
        <f t="shared" si="28"/>
        <v>2.9286970528884439E-2</v>
      </c>
      <c r="K78" s="242">
        <f t="shared" si="29"/>
        <v>0.33405545382989976</v>
      </c>
      <c r="L78" s="242">
        <f t="shared" si="30"/>
        <v>0.36299590156268818</v>
      </c>
      <c r="M78" s="243">
        <f t="shared" si="31"/>
        <v>1.3701234826637225</v>
      </c>
      <c r="O78" s="238">
        <v>2029</v>
      </c>
      <c r="P78" s="244">
        <f t="shared" si="32"/>
        <v>-328735.31012420723</v>
      </c>
      <c r="Q78" s="245">
        <f t="shared" si="33"/>
        <v>-81016.364794669062</v>
      </c>
      <c r="R78" s="245">
        <f t="shared" si="34"/>
        <v>-338292.41076950118</v>
      </c>
      <c r="S78" s="245">
        <f t="shared" si="35"/>
        <v>-234033.32997877983</v>
      </c>
      <c r="T78" s="246">
        <f t="shared" si="36"/>
        <v>-43733.124435653299</v>
      </c>
      <c r="U78" s="239">
        <f t="shared" si="25"/>
        <v>-1025810.5401028107</v>
      </c>
    </row>
    <row r="79" spans="2:21" x14ac:dyDescent="0.25">
      <c r="B79" s="29">
        <v>2030</v>
      </c>
      <c r="C79" s="30">
        <f t="shared" si="38"/>
        <v>13588383.455657806</v>
      </c>
      <c r="D79" s="30">
        <f t="shared" si="39"/>
        <v>18501480.32882658</v>
      </c>
      <c r="E79" s="31">
        <f t="shared" si="26"/>
        <v>-4913096.8731687739</v>
      </c>
      <c r="G79" s="29">
        <v>2030</v>
      </c>
      <c r="H79" s="241">
        <f t="shared" si="37"/>
        <v>-4.9130968731687741</v>
      </c>
      <c r="I79" s="242">
        <f t="shared" si="27"/>
        <v>6.3473223650552749E-3</v>
      </c>
      <c r="J79" s="242">
        <f t="shared" si="28"/>
        <v>2.9286970528884439E-2</v>
      </c>
      <c r="K79" s="242">
        <f t="shared" si="29"/>
        <v>0.33405545382989976</v>
      </c>
      <c r="L79" s="242">
        <f t="shared" si="30"/>
        <v>0.36299590156268818</v>
      </c>
      <c r="M79" s="243">
        <f t="shared" si="31"/>
        <v>1.3701234826637225</v>
      </c>
      <c r="O79" s="238">
        <v>2030</v>
      </c>
      <c r="P79" s="244">
        <f t="shared" si="32"/>
        <v>-331603.39937444549</v>
      </c>
      <c r="Q79" s="245">
        <f t="shared" si="33"/>
        <v>-81723.201443501166</v>
      </c>
      <c r="R79" s="245">
        <f t="shared" si="34"/>
        <v>-341243.88205014518</v>
      </c>
      <c r="S79" s="245">
        <f t="shared" si="35"/>
        <v>-236075.18084553338</v>
      </c>
      <c r="T79" s="246">
        <f t="shared" si="36"/>
        <v>-44114.679140031854</v>
      </c>
      <c r="U79" s="239">
        <f t="shared" si="25"/>
        <v>-1034760.3428536571</v>
      </c>
    </row>
    <row r="80" spans="2:21" x14ac:dyDescent="0.25">
      <c r="B80" s="29">
        <v>2031</v>
      </c>
      <c r="C80" s="30">
        <f t="shared" si="38"/>
        <v>13736166.398817927</v>
      </c>
      <c r="D80" s="30">
        <f t="shared" si="39"/>
        <v>18691757.409121294</v>
      </c>
      <c r="E80" s="31">
        <f t="shared" si="26"/>
        <v>-4955591.0103033669</v>
      </c>
      <c r="G80" s="29">
        <v>2031</v>
      </c>
      <c r="H80" s="241">
        <f t="shared" si="37"/>
        <v>-4.9555910103033671</v>
      </c>
      <c r="I80" s="242">
        <f t="shared" si="27"/>
        <v>6.3473223650552749E-3</v>
      </c>
      <c r="J80" s="242">
        <f t="shared" si="28"/>
        <v>2.9286970528884439E-2</v>
      </c>
      <c r="K80" s="242">
        <f t="shared" si="29"/>
        <v>0.33405545382989976</v>
      </c>
      <c r="L80" s="242">
        <f t="shared" si="30"/>
        <v>0.36299590156268818</v>
      </c>
      <c r="M80" s="243">
        <f t="shared" si="31"/>
        <v>1.3701234826637225</v>
      </c>
      <c r="O80" s="238">
        <v>2031</v>
      </c>
      <c r="P80" s="244">
        <f t="shared" si="32"/>
        <v>-334471.48862468381</v>
      </c>
      <c r="Q80" s="245">
        <f t="shared" si="33"/>
        <v>-82430.03809233327</v>
      </c>
      <c r="R80" s="245">
        <f t="shared" si="34"/>
        <v>-344195.35333078925</v>
      </c>
      <c r="S80" s="245">
        <f t="shared" si="35"/>
        <v>-238117.03171228699</v>
      </c>
      <c r="T80" s="246">
        <f t="shared" si="36"/>
        <v>-44496.233844410403</v>
      </c>
      <c r="U80" s="239">
        <f t="shared" si="25"/>
        <v>-1043710.1456045037</v>
      </c>
    </row>
    <row r="81" spans="2:21" x14ac:dyDescent="0.25">
      <c r="B81" s="29">
        <v>2032</v>
      </c>
      <c r="C81" s="30">
        <f t="shared" si="38"/>
        <v>13883949.341978047</v>
      </c>
      <c r="D81" s="30">
        <f t="shared" si="39"/>
        <v>18882034.489416007</v>
      </c>
      <c r="E81" s="31">
        <f t="shared" si="26"/>
        <v>-4998085.1474379599</v>
      </c>
      <c r="G81" s="29">
        <v>2032</v>
      </c>
      <c r="H81" s="241">
        <f t="shared" si="37"/>
        <v>-4.9980851474379602</v>
      </c>
      <c r="I81" s="242">
        <f t="shared" si="27"/>
        <v>6.3473223650552749E-3</v>
      </c>
      <c r="J81" s="242">
        <f t="shared" si="28"/>
        <v>2.9286970528884439E-2</v>
      </c>
      <c r="K81" s="242">
        <f t="shared" si="29"/>
        <v>0.33405545382989976</v>
      </c>
      <c r="L81" s="242">
        <f t="shared" si="30"/>
        <v>0.36299590156268818</v>
      </c>
      <c r="M81" s="243">
        <f t="shared" si="31"/>
        <v>1.3701234826637225</v>
      </c>
      <c r="O81" s="238">
        <v>2032</v>
      </c>
      <c r="P81" s="244">
        <f t="shared" si="32"/>
        <v>-337339.57787492219</v>
      </c>
      <c r="Q81" s="245">
        <f t="shared" si="33"/>
        <v>-83136.874741165375</v>
      </c>
      <c r="R81" s="245">
        <f t="shared" si="34"/>
        <v>-347146.82461143332</v>
      </c>
      <c r="S81" s="245">
        <f t="shared" si="35"/>
        <v>-240158.88257904057</v>
      </c>
      <c r="T81" s="246">
        <f t="shared" si="36"/>
        <v>-44877.788548788951</v>
      </c>
      <c r="U81" s="239">
        <f t="shared" si="25"/>
        <v>-1052659.9483553504</v>
      </c>
    </row>
    <row r="82" spans="2:21" x14ac:dyDescent="0.25">
      <c r="B82" s="29">
        <v>2033</v>
      </c>
      <c r="C82" s="30">
        <f t="shared" si="38"/>
        <v>14031732.285138167</v>
      </c>
      <c r="D82" s="30">
        <f t="shared" si="39"/>
        <v>19072311.56971072</v>
      </c>
      <c r="E82" s="31">
        <f t="shared" si="26"/>
        <v>-5040579.2845725529</v>
      </c>
      <c r="G82" s="29">
        <v>2033</v>
      </c>
      <c r="H82" s="241">
        <f t="shared" si="37"/>
        <v>-5.0405792845725532</v>
      </c>
      <c r="I82" s="242">
        <f t="shared" si="27"/>
        <v>6.3473223650552749E-3</v>
      </c>
      <c r="J82" s="242">
        <f t="shared" si="28"/>
        <v>2.9286970528884439E-2</v>
      </c>
      <c r="K82" s="242">
        <f t="shared" si="29"/>
        <v>0.33405545382989976</v>
      </c>
      <c r="L82" s="242">
        <f t="shared" si="30"/>
        <v>0.36299590156268818</v>
      </c>
      <c r="M82" s="243">
        <f t="shared" si="31"/>
        <v>1.3701234826637225</v>
      </c>
      <c r="O82" s="238">
        <v>2033</v>
      </c>
      <c r="P82" s="244">
        <f t="shared" si="32"/>
        <v>-340207.66712516051</v>
      </c>
      <c r="Q82" s="245">
        <f t="shared" si="33"/>
        <v>-83843.711389997479</v>
      </c>
      <c r="R82" s="245">
        <f t="shared" si="34"/>
        <v>-350098.29589207738</v>
      </c>
      <c r="S82" s="245">
        <f t="shared" si="35"/>
        <v>-242200.73344579415</v>
      </c>
      <c r="T82" s="246">
        <f t="shared" si="36"/>
        <v>-45259.343253167499</v>
      </c>
      <c r="U82" s="239">
        <f t="shared" si="25"/>
        <v>-1061609.751106197</v>
      </c>
    </row>
    <row r="83" spans="2:21" x14ac:dyDescent="0.25">
      <c r="B83" s="29">
        <v>2034</v>
      </c>
      <c r="C83" s="30">
        <f t="shared" si="38"/>
        <v>14179515.228298288</v>
      </c>
      <c r="D83" s="30">
        <f t="shared" si="39"/>
        <v>19262588.650005434</v>
      </c>
      <c r="E83" s="31">
        <f t="shared" si="26"/>
        <v>-5083073.4217071459</v>
      </c>
      <c r="G83" s="29">
        <v>2034</v>
      </c>
      <c r="H83" s="241">
        <f t="shared" si="37"/>
        <v>-5.0830734217071463</v>
      </c>
      <c r="I83" s="242">
        <f t="shared" si="27"/>
        <v>6.3473223650552749E-3</v>
      </c>
      <c r="J83" s="242">
        <f t="shared" si="28"/>
        <v>2.9286970528884439E-2</v>
      </c>
      <c r="K83" s="242">
        <f t="shared" si="29"/>
        <v>0.33405545382989976</v>
      </c>
      <c r="L83" s="242">
        <f t="shared" si="30"/>
        <v>0.36299590156268818</v>
      </c>
      <c r="M83" s="243">
        <f t="shared" si="31"/>
        <v>1.3701234826637225</v>
      </c>
      <c r="O83" s="238">
        <v>2034</v>
      </c>
      <c r="P83" s="244">
        <f t="shared" si="32"/>
        <v>-343075.75637539884</v>
      </c>
      <c r="Q83" s="245">
        <f t="shared" si="33"/>
        <v>-84550.548038829584</v>
      </c>
      <c r="R83" s="245">
        <f t="shared" si="34"/>
        <v>-353049.76717272145</v>
      </c>
      <c r="S83" s="245">
        <f t="shared" si="35"/>
        <v>-244242.58431254773</v>
      </c>
      <c r="T83" s="246">
        <f t="shared" si="36"/>
        <v>-45640.897957546047</v>
      </c>
      <c r="U83" s="239">
        <f t="shared" si="25"/>
        <v>-1070559.5538570436</v>
      </c>
    </row>
    <row r="84" spans="2:21" x14ac:dyDescent="0.25">
      <c r="B84" s="29">
        <v>2035</v>
      </c>
      <c r="C84" s="30">
        <f t="shared" si="38"/>
        <v>14327298.171458408</v>
      </c>
      <c r="D84" s="30">
        <f t="shared" si="39"/>
        <v>19452865.730300147</v>
      </c>
      <c r="E84" s="31">
        <f t="shared" si="26"/>
        <v>-5125567.5588417388</v>
      </c>
      <c r="G84" s="29">
        <v>2035</v>
      </c>
      <c r="H84" s="241">
        <f t="shared" si="37"/>
        <v>-5.1255675588417384</v>
      </c>
      <c r="I84" s="242">
        <f t="shared" si="27"/>
        <v>6.3473223650552749E-3</v>
      </c>
      <c r="J84" s="242">
        <f t="shared" si="28"/>
        <v>2.9286970528884439E-2</v>
      </c>
      <c r="K84" s="242">
        <f t="shared" si="29"/>
        <v>0.33405545382989976</v>
      </c>
      <c r="L84" s="242">
        <f t="shared" si="30"/>
        <v>0.36299590156268818</v>
      </c>
      <c r="M84" s="243">
        <f t="shared" si="31"/>
        <v>1.3701234826637225</v>
      </c>
      <c r="O84" s="238">
        <v>2035</v>
      </c>
      <c r="P84" s="244">
        <f t="shared" si="32"/>
        <v>-345943.84562563716</v>
      </c>
      <c r="Q84" s="245">
        <f t="shared" si="33"/>
        <v>-85257.384687661674</v>
      </c>
      <c r="R84" s="245">
        <f t="shared" si="34"/>
        <v>-356001.23845336545</v>
      </c>
      <c r="S84" s="245">
        <f t="shared" si="35"/>
        <v>-246284.43517930125</v>
      </c>
      <c r="T84" s="246">
        <f t="shared" si="36"/>
        <v>-46022.452661924588</v>
      </c>
      <c r="U84" s="239">
        <f t="shared" si="25"/>
        <v>-1079509.35660789</v>
      </c>
    </row>
    <row r="85" spans="2:21" x14ac:dyDescent="0.25">
      <c r="B85" s="29">
        <v>2036</v>
      </c>
      <c r="C85" s="30">
        <f t="shared" si="38"/>
        <v>14475081.114618529</v>
      </c>
      <c r="D85" s="30">
        <f t="shared" si="39"/>
        <v>19643142.81059486</v>
      </c>
      <c r="E85" s="31">
        <f t="shared" si="26"/>
        <v>-5168061.6959763318</v>
      </c>
      <c r="G85" s="29">
        <v>2036</v>
      </c>
      <c r="H85" s="241">
        <f t="shared" si="37"/>
        <v>-5.1680616959763315</v>
      </c>
      <c r="I85" s="242">
        <f t="shared" si="27"/>
        <v>6.3473223650552749E-3</v>
      </c>
      <c r="J85" s="242">
        <f t="shared" si="28"/>
        <v>2.9286970528884439E-2</v>
      </c>
      <c r="K85" s="242">
        <f t="shared" si="29"/>
        <v>0.33405545382989976</v>
      </c>
      <c r="L85" s="242">
        <f t="shared" si="30"/>
        <v>0.36299590156268818</v>
      </c>
      <c r="M85" s="243">
        <f t="shared" si="31"/>
        <v>1.3701234826637225</v>
      </c>
      <c r="O85" s="238">
        <v>2036</v>
      </c>
      <c r="P85" s="244">
        <f t="shared" si="32"/>
        <v>-348811.93487587548</v>
      </c>
      <c r="Q85" s="245">
        <f t="shared" si="33"/>
        <v>-85964.221336493778</v>
      </c>
      <c r="R85" s="245">
        <f t="shared" si="34"/>
        <v>-358952.70973400946</v>
      </c>
      <c r="S85" s="245">
        <f t="shared" si="35"/>
        <v>-248326.28604605483</v>
      </c>
      <c r="T85" s="246">
        <f t="shared" si="36"/>
        <v>-46404.007366303136</v>
      </c>
      <c r="U85" s="239">
        <f t="shared" si="25"/>
        <v>-1088459.1593587368</v>
      </c>
    </row>
    <row r="86" spans="2:21" x14ac:dyDescent="0.25">
      <c r="B86" s="29">
        <v>2037</v>
      </c>
      <c r="C86" s="30">
        <f t="shared" si="38"/>
        <v>14622864.057778649</v>
      </c>
      <c r="D86" s="30">
        <f t="shared" si="39"/>
        <v>19833419.890889574</v>
      </c>
      <c r="E86" s="31">
        <f t="shared" si="26"/>
        <v>-5210555.8331109248</v>
      </c>
      <c r="G86" s="29">
        <v>2037</v>
      </c>
      <c r="H86" s="241">
        <f t="shared" si="37"/>
        <v>-5.2105558331109245</v>
      </c>
      <c r="I86" s="242">
        <f t="shared" si="27"/>
        <v>6.3473223650552749E-3</v>
      </c>
      <c r="J86" s="242">
        <f t="shared" si="28"/>
        <v>2.9286970528884439E-2</v>
      </c>
      <c r="K86" s="242">
        <f t="shared" si="29"/>
        <v>0.33405545382989976</v>
      </c>
      <c r="L86" s="242">
        <f t="shared" si="30"/>
        <v>0.36299590156268818</v>
      </c>
      <c r="M86" s="243">
        <f t="shared" si="31"/>
        <v>1.3701234826637225</v>
      </c>
      <c r="O86" s="238">
        <v>2037</v>
      </c>
      <c r="P86" s="244">
        <f t="shared" si="32"/>
        <v>-351680.02412611374</v>
      </c>
      <c r="Q86" s="245">
        <f t="shared" si="33"/>
        <v>-86671.057985325882</v>
      </c>
      <c r="R86" s="245">
        <f t="shared" si="34"/>
        <v>-361904.18101465359</v>
      </c>
      <c r="S86" s="245">
        <f t="shared" si="35"/>
        <v>-250368.1369128084</v>
      </c>
      <c r="T86" s="246">
        <f t="shared" si="36"/>
        <v>-46785.562070681692</v>
      </c>
      <c r="U86" s="239">
        <f t="shared" si="25"/>
        <v>-1097408.9621095834</v>
      </c>
    </row>
    <row r="87" spans="2:21" x14ac:dyDescent="0.25">
      <c r="B87" s="29">
        <v>2038</v>
      </c>
      <c r="C87" s="30">
        <f t="shared" si="38"/>
        <v>14770647.000938769</v>
      </c>
      <c r="D87" s="30">
        <f t="shared" si="39"/>
        <v>20023696.971184287</v>
      </c>
      <c r="E87" s="31">
        <f t="shared" si="26"/>
        <v>-5253049.9702455178</v>
      </c>
      <c r="G87" s="29">
        <v>2038</v>
      </c>
      <c r="H87" s="241">
        <f t="shared" si="37"/>
        <v>-5.2530499702455176</v>
      </c>
      <c r="I87" s="242">
        <f t="shared" si="27"/>
        <v>6.3473223650552749E-3</v>
      </c>
      <c r="J87" s="242">
        <f t="shared" si="28"/>
        <v>2.9286970528884439E-2</v>
      </c>
      <c r="K87" s="242">
        <f t="shared" si="29"/>
        <v>0.33405545382989976</v>
      </c>
      <c r="L87" s="242">
        <f t="shared" si="30"/>
        <v>0.36299590156268818</v>
      </c>
      <c r="M87" s="243">
        <f t="shared" si="31"/>
        <v>1.3701234826637225</v>
      </c>
      <c r="O87" s="238">
        <v>2038</v>
      </c>
      <c r="P87" s="244">
        <f t="shared" si="32"/>
        <v>-354548.11337635206</v>
      </c>
      <c r="Q87" s="245">
        <f t="shared" si="33"/>
        <v>-87377.894634157987</v>
      </c>
      <c r="R87" s="245">
        <f t="shared" si="34"/>
        <v>-364855.65229529765</v>
      </c>
      <c r="S87" s="245">
        <f t="shared" si="35"/>
        <v>-252409.98777956198</v>
      </c>
      <c r="T87" s="246">
        <f t="shared" si="36"/>
        <v>-47167.116775060233</v>
      </c>
      <c r="U87" s="239">
        <f t="shared" si="25"/>
        <v>-1106358.76486043</v>
      </c>
    </row>
    <row r="88" spans="2:21" x14ac:dyDescent="0.25">
      <c r="B88" s="29">
        <v>2039</v>
      </c>
      <c r="C88" s="30">
        <f t="shared" si="38"/>
        <v>14918429.94409889</v>
      </c>
      <c r="D88" s="30">
        <f t="shared" si="39"/>
        <v>20213974.051479001</v>
      </c>
      <c r="E88" s="31">
        <f t="shared" si="26"/>
        <v>-5295544.1073801108</v>
      </c>
      <c r="G88" s="29">
        <v>2039</v>
      </c>
      <c r="H88" s="241">
        <f t="shared" si="37"/>
        <v>-5.2955441073801106</v>
      </c>
      <c r="I88" s="242">
        <f t="shared" si="27"/>
        <v>6.3473223650552749E-3</v>
      </c>
      <c r="J88" s="242">
        <f t="shared" si="28"/>
        <v>2.9286970528884439E-2</v>
      </c>
      <c r="K88" s="242">
        <f t="shared" si="29"/>
        <v>0.33405545382989976</v>
      </c>
      <c r="L88" s="242">
        <f t="shared" si="30"/>
        <v>0.36299590156268818</v>
      </c>
      <c r="M88" s="243">
        <f t="shared" si="31"/>
        <v>1.3701234826637225</v>
      </c>
      <c r="O88" s="238">
        <v>2039</v>
      </c>
      <c r="P88" s="244">
        <f t="shared" si="32"/>
        <v>-357416.20262659044</v>
      </c>
      <c r="Q88" s="245">
        <f t="shared" si="33"/>
        <v>-88084.731282990106</v>
      </c>
      <c r="R88" s="245">
        <f t="shared" si="34"/>
        <v>-367807.12357594172</v>
      </c>
      <c r="S88" s="245">
        <f t="shared" si="35"/>
        <v>-254451.83864631553</v>
      </c>
      <c r="T88" s="246">
        <f t="shared" si="36"/>
        <v>-47548.671479438781</v>
      </c>
      <c r="U88" s="239">
        <f t="shared" si="25"/>
        <v>-1115308.5676112766</v>
      </c>
    </row>
    <row r="89" spans="2:21" x14ac:dyDescent="0.25">
      <c r="B89" s="29">
        <v>2040</v>
      </c>
      <c r="C89" s="30">
        <f t="shared" si="38"/>
        <v>15066212.88725901</v>
      </c>
      <c r="D89" s="30">
        <f t="shared" si="39"/>
        <v>20404251.131773714</v>
      </c>
      <c r="E89" s="31">
        <f t="shared" si="26"/>
        <v>-5338038.2445147038</v>
      </c>
      <c r="G89" s="29">
        <v>2040</v>
      </c>
      <c r="H89" s="241">
        <f t="shared" si="37"/>
        <v>-5.3380382445147037</v>
      </c>
      <c r="I89" s="242">
        <f t="shared" si="27"/>
        <v>6.3473223650552749E-3</v>
      </c>
      <c r="J89" s="242">
        <f t="shared" si="28"/>
        <v>2.9286970528884439E-2</v>
      </c>
      <c r="K89" s="242">
        <f t="shared" si="29"/>
        <v>0.33405545382989976</v>
      </c>
      <c r="L89" s="242">
        <f t="shared" si="30"/>
        <v>0.36299590156268818</v>
      </c>
      <c r="M89" s="243">
        <f t="shared" si="31"/>
        <v>1.3701234826637225</v>
      </c>
      <c r="O89" s="238">
        <v>2040</v>
      </c>
      <c r="P89" s="244">
        <f t="shared" si="32"/>
        <v>-360284.29187682876</v>
      </c>
      <c r="Q89" s="245">
        <f t="shared" si="33"/>
        <v>-88791.567931822196</v>
      </c>
      <c r="R89" s="245">
        <f t="shared" si="34"/>
        <v>-370758.59485658573</v>
      </c>
      <c r="S89" s="245">
        <f t="shared" si="35"/>
        <v>-256493.68951306911</v>
      </c>
      <c r="T89" s="246">
        <f t="shared" si="36"/>
        <v>-47930.226183817336</v>
      </c>
      <c r="U89" s="239">
        <f t="shared" si="25"/>
        <v>-1124258.370362123</v>
      </c>
    </row>
    <row r="90" spans="2:21" ht="17.25" thickBot="1" x14ac:dyDescent="0.3">
      <c r="B90" s="71">
        <v>2041</v>
      </c>
      <c r="C90" s="33">
        <f>Traffic!S48*365</f>
        <v>15213995.830419131</v>
      </c>
      <c r="D90" s="33">
        <f>Traffic!AF48*365</f>
        <v>20594528.212068461</v>
      </c>
      <c r="E90" s="34">
        <f t="shared" si="26"/>
        <v>-5380532.3816493303</v>
      </c>
      <c r="G90" s="71">
        <v>2041</v>
      </c>
      <c r="H90" s="241">
        <f t="shared" si="37"/>
        <v>-5.3805323816493305</v>
      </c>
      <c r="I90" s="242">
        <f t="shared" si="27"/>
        <v>6.3473223650552749E-3</v>
      </c>
      <c r="J90" s="242">
        <f t="shared" si="28"/>
        <v>2.9286970528884439E-2</v>
      </c>
      <c r="K90" s="242">
        <f t="shared" si="29"/>
        <v>0.33405545382989976</v>
      </c>
      <c r="L90" s="242">
        <f t="shared" si="30"/>
        <v>0.36299590156268818</v>
      </c>
      <c r="M90" s="243">
        <f t="shared" si="31"/>
        <v>1.3701234826637225</v>
      </c>
      <c r="O90" s="249">
        <v>2041</v>
      </c>
      <c r="P90" s="250">
        <f t="shared" si="32"/>
        <v>-363152.38112706935</v>
      </c>
      <c r="Q90" s="251">
        <f t="shared" si="33"/>
        <v>-89498.404580654867</v>
      </c>
      <c r="R90" s="251">
        <f t="shared" si="34"/>
        <v>-373710.06613723218</v>
      </c>
      <c r="S90" s="251">
        <f t="shared" si="35"/>
        <v>-258535.54037982432</v>
      </c>
      <c r="T90" s="252">
        <f t="shared" si="36"/>
        <v>-48311.78088819619</v>
      </c>
      <c r="U90" s="253">
        <f t="shared" si="25"/>
        <v>-1133208.1731129768</v>
      </c>
    </row>
    <row r="91" spans="2:21" ht="16.5" customHeight="1" x14ac:dyDescent="0.25">
      <c r="G91" s="307"/>
      <c r="H91" s="307"/>
      <c r="I91" s="307"/>
      <c r="J91" s="307"/>
      <c r="K91" s="307"/>
      <c r="L91" s="307"/>
      <c r="M91" s="307"/>
      <c r="O91" s="310"/>
      <c r="P91" s="310"/>
      <c r="Q91" s="310"/>
      <c r="R91" s="310"/>
      <c r="S91" s="310"/>
      <c r="T91" s="310"/>
      <c r="U91" s="257"/>
    </row>
    <row r="92" spans="2:21" ht="16.5" customHeight="1" x14ac:dyDescent="0.25">
      <c r="G92" s="41"/>
      <c r="H92" s="41"/>
      <c r="I92" s="41"/>
      <c r="J92" s="41"/>
      <c r="K92" s="41"/>
      <c r="L92" s="41"/>
      <c r="M92" s="41"/>
      <c r="O92" s="35"/>
      <c r="P92" s="35"/>
      <c r="Q92" s="35"/>
      <c r="R92" s="35"/>
      <c r="S92" s="35"/>
      <c r="T92" s="35"/>
      <c r="U92" s="258"/>
    </row>
    <row r="93" spans="2:21" s="314" customFormat="1" ht="34.5" customHeight="1" thickBot="1" x14ac:dyDescent="0.3">
      <c r="B93" s="186" t="s">
        <v>248</v>
      </c>
      <c r="C93" s="186"/>
      <c r="D93" s="186"/>
      <c r="E93" s="186"/>
      <c r="G93" s="185" t="s">
        <v>249</v>
      </c>
      <c r="H93" s="185"/>
      <c r="I93" s="185"/>
      <c r="J93" s="185"/>
      <c r="K93" s="185"/>
      <c r="L93" s="185"/>
      <c r="M93" s="185"/>
      <c r="O93" s="344" t="s">
        <v>250</v>
      </c>
      <c r="P93" s="344"/>
      <c r="Q93" s="344"/>
      <c r="R93" s="344"/>
      <c r="S93" s="344"/>
      <c r="T93" s="344"/>
      <c r="U93" s="344"/>
    </row>
    <row r="94" spans="2:21" ht="16.5" customHeight="1" x14ac:dyDescent="0.25">
      <c r="B94" s="148" t="s">
        <v>19</v>
      </c>
      <c r="C94" s="150" t="s">
        <v>225</v>
      </c>
      <c r="D94" s="150" t="s">
        <v>224</v>
      </c>
      <c r="E94" s="152" t="s">
        <v>47</v>
      </c>
      <c r="G94" s="155" t="s">
        <v>19</v>
      </c>
      <c r="H94" s="157" t="s">
        <v>79</v>
      </c>
      <c r="I94" s="226" t="s">
        <v>81</v>
      </c>
      <c r="J94" s="226"/>
      <c r="K94" s="226"/>
      <c r="L94" s="226"/>
      <c r="M94" s="227"/>
      <c r="O94" s="168" t="s">
        <v>19</v>
      </c>
      <c r="P94" s="228" t="s">
        <v>78</v>
      </c>
      <c r="Q94" s="229"/>
      <c r="R94" s="229"/>
      <c r="S94" s="229"/>
      <c r="T94" s="230"/>
      <c r="U94" s="179" t="s">
        <v>80</v>
      </c>
    </row>
    <row r="95" spans="2:21" ht="15" customHeight="1" thickBot="1" x14ac:dyDescent="0.3">
      <c r="B95" s="149"/>
      <c r="C95" s="151"/>
      <c r="D95" s="151"/>
      <c r="E95" s="153"/>
      <c r="G95" s="156"/>
      <c r="H95" s="158"/>
      <c r="I95" s="231" t="s">
        <v>21</v>
      </c>
      <c r="J95" s="231" t="s">
        <v>22</v>
      </c>
      <c r="K95" s="231" t="s">
        <v>23</v>
      </c>
      <c r="L95" s="231" t="s">
        <v>24</v>
      </c>
      <c r="M95" s="232" t="s">
        <v>25</v>
      </c>
      <c r="O95" s="169"/>
      <c r="P95" s="233" t="s">
        <v>21</v>
      </c>
      <c r="Q95" s="233" t="s">
        <v>22</v>
      </c>
      <c r="R95" s="233" t="s">
        <v>23</v>
      </c>
      <c r="S95" s="233" t="s">
        <v>24</v>
      </c>
      <c r="T95" s="234" t="s">
        <v>25</v>
      </c>
      <c r="U95" s="180"/>
    </row>
    <row r="96" spans="2:21" ht="14.45" customHeight="1" x14ac:dyDescent="0.25">
      <c r="B96" s="111">
        <v>2017</v>
      </c>
      <c r="C96" s="132" t="s">
        <v>60</v>
      </c>
      <c r="D96" s="133"/>
      <c r="E96" s="134"/>
      <c r="G96" s="70">
        <v>2017</v>
      </c>
      <c r="H96" s="159" t="s">
        <v>60</v>
      </c>
      <c r="I96" s="160"/>
      <c r="J96" s="160"/>
      <c r="K96" s="160"/>
      <c r="L96" s="160"/>
      <c r="M96" s="161"/>
      <c r="O96" s="235">
        <v>2017</v>
      </c>
      <c r="P96" s="170" t="s">
        <v>60</v>
      </c>
      <c r="Q96" s="171"/>
      <c r="R96" s="171"/>
      <c r="S96" s="171"/>
      <c r="T96" s="172"/>
      <c r="U96" s="236">
        <f>SUM(P96:T96)</f>
        <v>0</v>
      </c>
    </row>
    <row r="97" spans="2:21" ht="14.45" customHeight="1" x14ac:dyDescent="0.25">
      <c r="B97" s="29">
        <v>2018</v>
      </c>
      <c r="C97" s="132"/>
      <c r="D97" s="133"/>
      <c r="E97" s="134"/>
      <c r="G97" s="29">
        <v>2018</v>
      </c>
      <c r="H97" s="162"/>
      <c r="I97" s="163"/>
      <c r="J97" s="163"/>
      <c r="K97" s="163"/>
      <c r="L97" s="163"/>
      <c r="M97" s="164"/>
      <c r="O97" s="238">
        <v>2018</v>
      </c>
      <c r="P97" s="173"/>
      <c r="Q97" s="174"/>
      <c r="R97" s="174"/>
      <c r="S97" s="174"/>
      <c r="T97" s="175"/>
      <c r="U97" s="239">
        <f t="shared" ref="U97:U120" si="40">SUM(P97:T97)</f>
        <v>0</v>
      </c>
    </row>
    <row r="98" spans="2:21" ht="14.45" customHeight="1" x14ac:dyDescent="0.25">
      <c r="B98" s="29">
        <v>2019</v>
      </c>
      <c r="C98" s="132"/>
      <c r="D98" s="133"/>
      <c r="E98" s="134"/>
      <c r="G98" s="29">
        <v>2019</v>
      </c>
      <c r="H98" s="162"/>
      <c r="I98" s="163"/>
      <c r="J98" s="163"/>
      <c r="K98" s="163"/>
      <c r="L98" s="163"/>
      <c r="M98" s="164"/>
      <c r="O98" s="238">
        <v>2019</v>
      </c>
      <c r="P98" s="173"/>
      <c r="Q98" s="174"/>
      <c r="R98" s="174"/>
      <c r="S98" s="174"/>
      <c r="T98" s="175"/>
      <c r="U98" s="239">
        <f t="shared" si="40"/>
        <v>0</v>
      </c>
    </row>
    <row r="99" spans="2:21" ht="14.45" customHeight="1" x14ac:dyDescent="0.25">
      <c r="B99" s="29">
        <v>2020</v>
      </c>
      <c r="C99" s="132"/>
      <c r="D99" s="133"/>
      <c r="E99" s="134"/>
      <c r="G99" s="29">
        <v>2020</v>
      </c>
      <c r="H99" s="162"/>
      <c r="I99" s="163"/>
      <c r="J99" s="163"/>
      <c r="K99" s="163"/>
      <c r="L99" s="163"/>
      <c r="M99" s="164"/>
      <c r="O99" s="238">
        <v>2020</v>
      </c>
      <c r="P99" s="173"/>
      <c r="Q99" s="174"/>
      <c r="R99" s="174"/>
      <c r="S99" s="174"/>
      <c r="T99" s="175"/>
      <c r="U99" s="239">
        <f t="shared" si="40"/>
        <v>0</v>
      </c>
    </row>
    <row r="100" spans="2:21" ht="14.45" customHeight="1" x14ac:dyDescent="0.25">
      <c r="B100" s="29">
        <v>2021</v>
      </c>
      <c r="C100" s="135"/>
      <c r="D100" s="136"/>
      <c r="E100" s="137"/>
      <c r="G100" s="29">
        <v>2021</v>
      </c>
      <c r="H100" s="165"/>
      <c r="I100" s="166"/>
      <c r="J100" s="166"/>
      <c r="K100" s="166"/>
      <c r="L100" s="166"/>
      <c r="M100" s="167"/>
      <c r="O100" s="238">
        <v>2021</v>
      </c>
      <c r="P100" s="176"/>
      <c r="Q100" s="177"/>
      <c r="R100" s="177"/>
      <c r="S100" s="177"/>
      <c r="T100" s="178"/>
      <c r="U100" s="239">
        <f t="shared" si="40"/>
        <v>0</v>
      </c>
    </row>
    <row r="101" spans="2:21" x14ac:dyDescent="0.25">
      <c r="B101" s="29">
        <v>2022</v>
      </c>
      <c r="C101" s="30">
        <f>SUM(Traffic!R6,Traffic!R21,Traffic!R22,Traffic!R47)*365</f>
        <v>10277959.32062876</v>
      </c>
      <c r="D101" s="30">
        <f>SUM(Traffic!AE6,Traffic!AE21,Traffic!AE22,Traffic!AE47)*365</f>
        <v>9995670.1115287077</v>
      </c>
      <c r="E101" s="31">
        <f t="shared" ref="E101:E120" si="41">C101-D101</f>
        <v>282289.20910005271</v>
      </c>
      <c r="G101" s="29">
        <v>2022</v>
      </c>
      <c r="H101" s="241">
        <f>E101/1000000</f>
        <v>0.28228920910005273</v>
      </c>
      <c r="I101" s="242">
        <f t="shared" ref="I101:I120" si="42">$R$215</f>
        <v>1.6574972597899269E-2</v>
      </c>
      <c r="J101" s="242">
        <f t="shared" ref="J101:J120" si="43">$R$216</f>
        <v>9.6676616120673631E-2</v>
      </c>
      <c r="K101" s="242">
        <f t="shared" ref="K101:K120" si="44">$R$217</f>
        <v>0.21994462517172542</v>
      </c>
      <c r="L101" s="242">
        <f t="shared" ref="L101:L120" si="45">$R$218</f>
        <v>0.41467425926246981</v>
      </c>
      <c r="M101" s="243">
        <f t="shared" ref="M101:M120" si="46">$R$219</f>
        <v>1.8619148859599639</v>
      </c>
      <c r="O101" s="238">
        <v>2022</v>
      </c>
      <c r="P101" s="244">
        <f t="shared" ref="P101:P120" si="47">$H101*$I101*$Z$215</f>
        <v>49742.324608191033</v>
      </c>
      <c r="Q101" s="245">
        <f t="shared" ref="Q101:Q120" si="48">$H101*$J101*$Z$216</f>
        <v>15673.916047320721</v>
      </c>
      <c r="R101" s="245">
        <f t="shared" ref="R101:R120" si="49">$H101*$K101*$Z$217</f>
        <v>14064.663883407475</v>
      </c>
      <c r="S101" s="245">
        <f t="shared" ref="S101:S120" si="50">$H101*$L101*$Z$218</f>
        <v>16034.123827050445</v>
      </c>
      <c r="T101" s="246">
        <f t="shared" ref="T101:T120" si="51">$H101*$M101*$Z$219</f>
        <v>4045.0689782786403</v>
      </c>
      <c r="U101" s="239">
        <f t="shared" si="40"/>
        <v>99560.097344248308</v>
      </c>
    </row>
    <row r="102" spans="2:21" x14ac:dyDescent="0.25">
      <c r="B102" s="29">
        <v>2023</v>
      </c>
      <c r="C102" s="30">
        <f>($C$120-$C$101)/19+C101</f>
        <v>10353660.001463946</v>
      </c>
      <c r="D102" s="30">
        <f>($D$120-$D$101)/19+D101</f>
        <v>10070661.327924743</v>
      </c>
      <c r="E102" s="31">
        <f t="shared" si="41"/>
        <v>282998.67353920266</v>
      </c>
      <c r="G102" s="29">
        <v>2023</v>
      </c>
      <c r="H102" s="241">
        <f t="shared" ref="H102:H120" si="52">E102/1000000</f>
        <v>0.28299867353920266</v>
      </c>
      <c r="I102" s="242">
        <f t="shared" si="42"/>
        <v>1.6574972597899269E-2</v>
      </c>
      <c r="J102" s="242">
        <f t="shared" si="43"/>
        <v>9.6676616120673631E-2</v>
      </c>
      <c r="K102" s="242">
        <f t="shared" si="44"/>
        <v>0.21994462517172542</v>
      </c>
      <c r="L102" s="242">
        <f t="shared" si="45"/>
        <v>0.41467425926246981</v>
      </c>
      <c r="M102" s="243">
        <f t="shared" si="46"/>
        <v>1.8619148859599639</v>
      </c>
      <c r="O102" s="238">
        <v>2023</v>
      </c>
      <c r="P102" s="244">
        <f t="shared" si="47"/>
        <v>49867.339696591589</v>
      </c>
      <c r="Q102" s="245">
        <f t="shared" si="48"/>
        <v>15713.308577036067</v>
      </c>
      <c r="R102" s="245">
        <f t="shared" si="49"/>
        <v>14100.011953940122</v>
      </c>
      <c r="S102" s="245">
        <f t="shared" si="50"/>
        <v>16074.421650351891</v>
      </c>
      <c r="T102" s="246">
        <f t="shared" si="51"/>
        <v>4055.2352634269337</v>
      </c>
      <c r="U102" s="239">
        <f t="shared" si="40"/>
        <v>99810.317141346604</v>
      </c>
    </row>
    <row r="103" spans="2:21" x14ac:dyDescent="0.25">
      <c r="B103" s="29">
        <v>2024</v>
      </c>
      <c r="C103" s="30">
        <f t="shared" ref="C103:C119" si="53">($C$120-$C$101)/19+C102</f>
        <v>10429360.682299132</v>
      </c>
      <c r="D103" s="30">
        <f t="shared" ref="D103:D119" si="54">($D$120-$D$101)/19+D102</f>
        <v>10145652.544320779</v>
      </c>
      <c r="E103" s="31">
        <f t="shared" si="41"/>
        <v>283708.13797835261</v>
      </c>
      <c r="G103" s="29">
        <v>2024</v>
      </c>
      <c r="H103" s="241">
        <f t="shared" si="52"/>
        <v>0.28370813797835259</v>
      </c>
      <c r="I103" s="242">
        <f t="shared" si="42"/>
        <v>1.6574972597899269E-2</v>
      </c>
      <c r="J103" s="242">
        <f t="shared" si="43"/>
        <v>9.6676616120673631E-2</v>
      </c>
      <c r="K103" s="242">
        <f t="shared" si="44"/>
        <v>0.21994462517172542</v>
      </c>
      <c r="L103" s="242">
        <f t="shared" si="45"/>
        <v>0.41467425926246981</v>
      </c>
      <c r="M103" s="243">
        <f t="shared" si="46"/>
        <v>1.8619148859599639</v>
      </c>
      <c r="O103" s="238">
        <v>2024</v>
      </c>
      <c r="P103" s="244">
        <f t="shared" si="47"/>
        <v>49992.354784992131</v>
      </c>
      <c r="Q103" s="245">
        <f t="shared" si="48"/>
        <v>15752.701106751412</v>
      </c>
      <c r="R103" s="245">
        <f t="shared" si="49"/>
        <v>14135.36002447277</v>
      </c>
      <c r="S103" s="245">
        <f t="shared" si="50"/>
        <v>16114.719473653338</v>
      </c>
      <c r="T103" s="246">
        <f t="shared" si="51"/>
        <v>4065.4015485752261</v>
      </c>
      <c r="U103" s="239">
        <f t="shared" si="40"/>
        <v>100060.53693844489</v>
      </c>
    </row>
    <row r="104" spans="2:21" x14ac:dyDescent="0.25">
      <c r="B104" s="29">
        <v>2025</v>
      </c>
      <c r="C104" s="30">
        <f t="shared" si="53"/>
        <v>10505061.363134317</v>
      </c>
      <c r="D104" s="30">
        <f t="shared" si="54"/>
        <v>10220643.760716815</v>
      </c>
      <c r="E104" s="31">
        <f t="shared" si="41"/>
        <v>284417.60241750255</v>
      </c>
      <c r="G104" s="29">
        <v>2025</v>
      </c>
      <c r="H104" s="241">
        <f t="shared" si="52"/>
        <v>0.28441760241750258</v>
      </c>
      <c r="I104" s="242">
        <f t="shared" si="42"/>
        <v>1.6574972597899269E-2</v>
      </c>
      <c r="J104" s="242">
        <f t="shared" si="43"/>
        <v>9.6676616120673631E-2</v>
      </c>
      <c r="K104" s="242">
        <f t="shared" si="44"/>
        <v>0.21994462517172542</v>
      </c>
      <c r="L104" s="242">
        <f t="shared" si="45"/>
        <v>0.41467425926246981</v>
      </c>
      <c r="M104" s="243">
        <f t="shared" si="46"/>
        <v>1.8619148859599639</v>
      </c>
      <c r="O104" s="238">
        <v>2025</v>
      </c>
      <c r="P104" s="244">
        <f t="shared" si="47"/>
        <v>50117.369873392694</v>
      </c>
      <c r="Q104" s="245">
        <f t="shared" si="48"/>
        <v>15792.093636466763</v>
      </c>
      <c r="R104" s="245">
        <f t="shared" si="49"/>
        <v>14170.708095005421</v>
      </c>
      <c r="S104" s="245">
        <f t="shared" si="50"/>
        <v>16155.017296954786</v>
      </c>
      <c r="T104" s="246">
        <f t="shared" si="51"/>
        <v>4075.5678337235204</v>
      </c>
      <c r="U104" s="239">
        <f t="shared" si="40"/>
        <v>100310.75673554318</v>
      </c>
    </row>
    <row r="105" spans="2:21" x14ac:dyDescent="0.25">
      <c r="B105" s="29">
        <v>2026</v>
      </c>
      <c r="C105" s="30">
        <f t="shared" si="53"/>
        <v>10580762.043969503</v>
      </c>
      <c r="D105" s="30">
        <f t="shared" si="54"/>
        <v>10295634.97711285</v>
      </c>
      <c r="E105" s="31">
        <f t="shared" si="41"/>
        <v>285127.0668566525</v>
      </c>
      <c r="G105" s="29">
        <v>2026</v>
      </c>
      <c r="H105" s="241">
        <f t="shared" si="52"/>
        <v>0.28512706685665251</v>
      </c>
      <c r="I105" s="242">
        <f t="shared" si="42"/>
        <v>1.6574972597899269E-2</v>
      </c>
      <c r="J105" s="242">
        <f t="shared" si="43"/>
        <v>9.6676616120673631E-2</v>
      </c>
      <c r="K105" s="242">
        <f t="shared" si="44"/>
        <v>0.21994462517172542</v>
      </c>
      <c r="L105" s="242">
        <f t="shared" si="45"/>
        <v>0.41467425926246981</v>
      </c>
      <c r="M105" s="243">
        <f t="shared" si="46"/>
        <v>1.8619148859599639</v>
      </c>
      <c r="O105" s="238">
        <v>2026</v>
      </c>
      <c r="P105" s="244">
        <f t="shared" si="47"/>
        <v>50242.384961793243</v>
      </c>
      <c r="Q105" s="245">
        <f t="shared" si="48"/>
        <v>15831.486166182109</v>
      </c>
      <c r="R105" s="245">
        <f t="shared" si="49"/>
        <v>14206.056165538068</v>
      </c>
      <c r="S105" s="245">
        <f t="shared" si="50"/>
        <v>16195.315120256233</v>
      </c>
      <c r="T105" s="246">
        <f t="shared" si="51"/>
        <v>4085.7341188718128</v>
      </c>
      <c r="U105" s="239">
        <f t="shared" si="40"/>
        <v>100560.97653264146</v>
      </c>
    </row>
    <row r="106" spans="2:21" x14ac:dyDescent="0.25">
      <c r="B106" s="29">
        <v>2027</v>
      </c>
      <c r="C106" s="30">
        <f t="shared" si="53"/>
        <v>10656462.724804688</v>
      </c>
      <c r="D106" s="30">
        <f t="shared" si="54"/>
        <v>10370626.193508886</v>
      </c>
      <c r="E106" s="31">
        <f t="shared" si="41"/>
        <v>285836.53129580244</v>
      </c>
      <c r="G106" s="29">
        <v>2027</v>
      </c>
      <c r="H106" s="241">
        <f t="shared" si="52"/>
        <v>0.28583653129580244</v>
      </c>
      <c r="I106" s="242">
        <f t="shared" si="42"/>
        <v>1.6574972597899269E-2</v>
      </c>
      <c r="J106" s="242">
        <f t="shared" si="43"/>
        <v>9.6676616120673631E-2</v>
      </c>
      <c r="K106" s="242">
        <f t="shared" si="44"/>
        <v>0.21994462517172542</v>
      </c>
      <c r="L106" s="242">
        <f t="shared" si="45"/>
        <v>0.41467425926246981</v>
      </c>
      <c r="M106" s="243">
        <f t="shared" si="46"/>
        <v>1.8619148859599639</v>
      </c>
      <c r="O106" s="238">
        <v>2027</v>
      </c>
      <c r="P106" s="244">
        <f t="shared" si="47"/>
        <v>50367.400050193799</v>
      </c>
      <c r="Q106" s="245">
        <f t="shared" si="48"/>
        <v>15870.878695897456</v>
      </c>
      <c r="R106" s="245">
        <f t="shared" si="49"/>
        <v>14241.404236070714</v>
      </c>
      <c r="S106" s="245">
        <f t="shared" si="50"/>
        <v>16235.61294355768</v>
      </c>
      <c r="T106" s="246">
        <f t="shared" si="51"/>
        <v>4095.9004040201062</v>
      </c>
      <c r="U106" s="239">
        <f t="shared" si="40"/>
        <v>100811.19632973975</v>
      </c>
    </row>
    <row r="107" spans="2:21" x14ac:dyDescent="0.25">
      <c r="B107" s="29">
        <v>2028</v>
      </c>
      <c r="C107" s="30">
        <f t="shared" si="53"/>
        <v>10732163.405639874</v>
      </c>
      <c r="D107" s="30">
        <f t="shared" si="54"/>
        <v>10445617.409904921</v>
      </c>
      <c r="E107" s="31">
        <f t="shared" si="41"/>
        <v>286545.99573495239</v>
      </c>
      <c r="G107" s="29">
        <v>2028</v>
      </c>
      <c r="H107" s="241">
        <f t="shared" si="52"/>
        <v>0.28654599573495237</v>
      </c>
      <c r="I107" s="242">
        <f t="shared" si="42"/>
        <v>1.6574972597899269E-2</v>
      </c>
      <c r="J107" s="242">
        <f t="shared" si="43"/>
        <v>9.6676616120673631E-2</v>
      </c>
      <c r="K107" s="242">
        <f t="shared" si="44"/>
        <v>0.21994462517172542</v>
      </c>
      <c r="L107" s="242">
        <f t="shared" si="45"/>
        <v>0.41467425926246981</v>
      </c>
      <c r="M107" s="243">
        <f t="shared" si="46"/>
        <v>1.8619148859599639</v>
      </c>
      <c r="O107" s="238">
        <v>2028</v>
      </c>
      <c r="P107" s="244">
        <f t="shared" si="47"/>
        <v>50492.415138594341</v>
      </c>
      <c r="Q107" s="245">
        <f t="shared" si="48"/>
        <v>15910.271225612803</v>
      </c>
      <c r="R107" s="245">
        <f t="shared" si="49"/>
        <v>14276.752306603365</v>
      </c>
      <c r="S107" s="245">
        <f t="shared" si="50"/>
        <v>16275.910766859124</v>
      </c>
      <c r="T107" s="246">
        <f t="shared" si="51"/>
        <v>4106.0666891683995</v>
      </c>
      <c r="U107" s="239">
        <f t="shared" si="40"/>
        <v>101061.41612683801</v>
      </c>
    </row>
    <row r="108" spans="2:21" x14ac:dyDescent="0.25">
      <c r="B108" s="29">
        <v>2029</v>
      </c>
      <c r="C108" s="30">
        <f t="shared" si="53"/>
        <v>10807864.086475059</v>
      </c>
      <c r="D108" s="30">
        <f t="shared" si="54"/>
        <v>10520608.626300957</v>
      </c>
      <c r="E108" s="31">
        <f t="shared" si="41"/>
        <v>287255.46017410234</v>
      </c>
      <c r="G108" s="29">
        <v>2029</v>
      </c>
      <c r="H108" s="241">
        <f t="shared" si="52"/>
        <v>0.28725546017410236</v>
      </c>
      <c r="I108" s="242">
        <f t="shared" si="42"/>
        <v>1.6574972597899269E-2</v>
      </c>
      <c r="J108" s="242">
        <f t="shared" si="43"/>
        <v>9.6676616120673631E-2</v>
      </c>
      <c r="K108" s="242">
        <f t="shared" si="44"/>
        <v>0.21994462517172542</v>
      </c>
      <c r="L108" s="242">
        <f t="shared" si="45"/>
        <v>0.41467425926246981</v>
      </c>
      <c r="M108" s="243">
        <f t="shared" si="46"/>
        <v>1.8619148859599639</v>
      </c>
      <c r="O108" s="238">
        <v>2029</v>
      </c>
      <c r="P108" s="244">
        <f t="shared" si="47"/>
        <v>50617.430226994897</v>
      </c>
      <c r="Q108" s="245">
        <f t="shared" si="48"/>
        <v>15949.663755328153</v>
      </c>
      <c r="R108" s="245">
        <f t="shared" si="49"/>
        <v>14312.100377136014</v>
      </c>
      <c r="S108" s="245">
        <f t="shared" si="50"/>
        <v>16316.208590160573</v>
      </c>
      <c r="T108" s="246">
        <f t="shared" si="51"/>
        <v>4116.2329743166929</v>
      </c>
      <c r="U108" s="239">
        <f t="shared" si="40"/>
        <v>101311.63592393632</v>
      </c>
    </row>
    <row r="109" spans="2:21" x14ac:dyDescent="0.25">
      <c r="B109" s="29">
        <v>2030</v>
      </c>
      <c r="C109" s="30">
        <f t="shared" si="53"/>
        <v>10883564.767310245</v>
      </c>
      <c r="D109" s="30">
        <f t="shared" si="54"/>
        <v>10595599.842696993</v>
      </c>
      <c r="E109" s="31">
        <f t="shared" si="41"/>
        <v>287964.92461325228</v>
      </c>
      <c r="G109" s="29">
        <v>2030</v>
      </c>
      <c r="H109" s="241">
        <f t="shared" si="52"/>
        <v>0.28796492461325229</v>
      </c>
      <c r="I109" s="242">
        <f t="shared" si="42"/>
        <v>1.6574972597899269E-2</v>
      </c>
      <c r="J109" s="242">
        <f t="shared" si="43"/>
        <v>9.6676616120673631E-2</v>
      </c>
      <c r="K109" s="242">
        <f t="shared" si="44"/>
        <v>0.21994462517172542</v>
      </c>
      <c r="L109" s="242">
        <f t="shared" si="45"/>
        <v>0.41467425926246981</v>
      </c>
      <c r="M109" s="243">
        <f t="shared" si="46"/>
        <v>1.8619148859599639</v>
      </c>
      <c r="O109" s="238">
        <v>2030</v>
      </c>
      <c r="P109" s="244">
        <f t="shared" si="47"/>
        <v>50742.445315395446</v>
      </c>
      <c r="Q109" s="245">
        <f t="shared" si="48"/>
        <v>15989.056285043498</v>
      </c>
      <c r="R109" s="245">
        <f t="shared" si="49"/>
        <v>14347.448447668661</v>
      </c>
      <c r="S109" s="245">
        <f t="shared" si="50"/>
        <v>16356.506413462021</v>
      </c>
      <c r="T109" s="246">
        <f t="shared" si="51"/>
        <v>4126.3992594649862</v>
      </c>
      <c r="U109" s="239">
        <f t="shared" si="40"/>
        <v>101561.85572103462</v>
      </c>
    </row>
    <row r="110" spans="2:21" x14ac:dyDescent="0.25">
      <c r="B110" s="29">
        <v>2031</v>
      </c>
      <c r="C110" s="30">
        <f t="shared" si="53"/>
        <v>10959265.448145431</v>
      </c>
      <c r="D110" s="30">
        <f t="shared" si="54"/>
        <v>10670591.059093028</v>
      </c>
      <c r="E110" s="31">
        <f t="shared" si="41"/>
        <v>288674.38905240223</v>
      </c>
      <c r="G110" s="29">
        <v>2031</v>
      </c>
      <c r="H110" s="241">
        <f t="shared" si="52"/>
        <v>0.28867438905240222</v>
      </c>
      <c r="I110" s="242">
        <f t="shared" si="42"/>
        <v>1.6574972597899269E-2</v>
      </c>
      <c r="J110" s="242">
        <f t="shared" si="43"/>
        <v>9.6676616120673631E-2</v>
      </c>
      <c r="K110" s="242">
        <f t="shared" si="44"/>
        <v>0.21994462517172542</v>
      </c>
      <c r="L110" s="242">
        <f t="shared" si="45"/>
        <v>0.41467425926246981</v>
      </c>
      <c r="M110" s="243">
        <f t="shared" si="46"/>
        <v>1.8619148859599639</v>
      </c>
      <c r="O110" s="238">
        <v>2031</v>
      </c>
      <c r="P110" s="244">
        <f t="shared" si="47"/>
        <v>50867.460403795994</v>
      </c>
      <c r="Q110" s="245">
        <f t="shared" si="48"/>
        <v>16028.448814758845</v>
      </c>
      <c r="R110" s="245">
        <f t="shared" si="49"/>
        <v>14382.796518201309</v>
      </c>
      <c r="S110" s="245">
        <f t="shared" si="50"/>
        <v>16396.804236763466</v>
      </c>
      <c r="T110" s="246">
        <f t="shared" si="51"/>
        <v>4136.5655446132787</v>
      </c>
      <c r="U110" s="239">
        <f t="shared" si="40"/>
        <v>101812.07551813289</v>
      </c>
    </row>
    <row r="111" spans="2:21" x14ac:dyDescent="0.25">
      <c r="B111" s="29">
        <v>2032</v>
      </c>
      <c r="C111" s="30">
        <f t="shared" si="53"/>
        <v>11034966.128980616</v>
      </c>
      <c r="D111" s="30">
        <f t="shared" si="54"/>
        <v>10745582.275489064</v>
      </c>
      <c r="E111" s="31">
        <f t="shared" si="41"/>
        <v>289383.85349155217</v>
      </c>
      <c r="G111" s="29">
        <v>2032</v>
      </c>
      <c r="H111" s="241">
        <f t="shared" si="52"/>
        <v>0.28938385349155216</v>
      </c>
      <c r="I111" s="242">
        <f t="shared" si="42"/>
        <v>1.6574972597899269E-2</v>
      </c>
      <c r="J111" s="242">
        <f t="shared" si="43"/>
        <v>9.6676616120673631E-2</v>
      </c>
      <c r="K111" s="242">
        <f t="shared" si="44"/>
        <v>0.21994462517172542</v>
      </c>
      <c r="L111" s="242">
        <f t="shared" si="45"/>
        <v>0.41467425926246981</v>
      </c>
      <c r="M111" s="243">
        <f t="shared" si="46"/>
        <v>1.8619148859599639</v>
      </c>
      <c r="O111" s="238">
        <v>2032</v>
      </c>
      <c r="P111" s="244">
        <f t="shared" si="47"/>
        <v>50992.47549219655</v>
      </c>
      <c r="Q111" s="245">
        <f t="shared" si="48"/>
        <v>16067.841344474193</v>
      </c>
      <c r="R111" s="245">
        <f t="shared" si="49"/>
        <v>14418.144588733956</v>
      </c>
      <c r="S111" s="245">
        <f t="shared" si="50"/>
        <v>16437.102060064914</v>
      </c>
      <c r="T111" s="246">
        <f t="shared" si="51"/>
        <v>4146.731829761572</v>
      </c>
      <c r="U111" s="239">
        <f t="shared" si="40"/>
        <v>102062.29531523118</v>
      </c>
    </row>
    <row r="112" spans="2:21" x14ac:dyDescent="0.25">
      <c r="B112" s="29">
        <v>2033</v>
      </c>
      <c r="C112" s="30">
        <f t="shared" si="53"/>
        <v>11110666.809815802</v>
      </c>
      <c r="D112" s="30">
        <f t="shared" si="54"/>
        <v>10820573.4918851</v>
      </c>
      <c r="E112" s="31">
        <f t="shared" si="41"/>
        <v>290093.31793070212</v>
      </c>
      <c r="G112" s="29">
        <v>2033</v>
      </c>
      <c r="H112" s="241">
        <f t="shared" si="52"/>
        <v>0.29009331793070214</v>
      </c>
      <c r="I112" s="242">
        <f t="shared" si="42"/>
        <v>1.6574972597899269E-2</v>
      </c>
      <c r="J112" s="242">
        <f t="shared" si="43"/>
        <v>9.6676616120673631E-2</v>
      </c>
      <c r="K112" s="242">
        <f t="shared" si="44"/>
        <v>0.21994462517172542</v>
      </c>
      <c r="L112" s="242">
        <f t="shared" si="45"/>
        <v>0.41467425926246981</v>
      </c>
      <c r="M112" s="243">
        <f t="shared" si="46"/>
        <v>1.8619148859599639</v>
      </c>
      <c r="O112" s="238">
        <v>2033</v>
      </c>
      <c r="P112" s="244">
        <f t="shared" si="47"/>
        <v>51117.490580597099</v>
      </c>
      <c r="Q112" s="245">
        <f t="shared" si="48"/>
        <v>16107.233874189542</v>
      </c>
      <c r="R112" s="245">
        <f t="shared" si="49"/>
        <v>14453.492659266605</v>
      </c>
      <c r="S112" s="245">
        <f t="shared" si="50"/>
        <v>16477.399883366361</v>
      </c>
      <c r="T112" s="246">
        <f t="shared" si="51"/>
        <v>4156.8981149098654</v>
      </c>
      <c r="U112" s="239">
        <f t="shared" si="40"/>
        <v>102312.51511232948</v>
      </c>
    </row>
    <row r="113" spans="2:21" x14ac:dyDescent="0.25">
      <c r="B113" s="29">
        <v>2034</v>
      </c>
      <c r="C113" s="30">
        <f t="shared" si="53"/>
        <v>11186367.490650987</v>
      </c>
      <c r="D113" s="30">
        <f t="shared" si="54"/>
        <v>10895564.708281135</v>
      </c>
      <c r="E113" s="31">
        <f t="shared" si="41"/>
        <v>290802.78236985207</v>
      </c>
      <c r="G113" s="29">
        <v>2034</v>
      </c>
      <c r="H113" s="241">
        <f t="shared" si="52"/>
        <v>0.29080278236985208</v>
      </c>
      <c r="I113" s="242">
        <f t="shared" si="42"/>
        <v>1.6574972597899269E-2</v>
      </c>
      <c r="J113" s="242">
        <f t="shared" si="43"/>
        <v>9.6676616120673631E-2</v>
      </c>
      <c r="K113" s="242">
        <f t="shared" si="44"/>
        <v>0.21994462517172542</v>
      </c>
      <c r="L113" s="242">
        <f t="shared" si="45"/>
        <v>0.41467425926246981</v>
      </c>
      <c r="M113" s="243">
        <f t="shared" si="46"/>
        <v>1.8619148859599639</v>
      </c>
      <c r="O113" s="238">
        <v>2034</v>
      </c>
      <c r="P113" s="244">
        <f t="shared" si="47"/>
        <v>51242.505668997655</v>
      </c>
      <c r="Q113" s="245">
        <f t="shared" si="48"/>
        <v>16146.626403904889</v>
      </c>
      <c r="R113" s="245">
        <f t="shared" si="49"/>
        <v>14488.840729799256</v>
      </c>
      <c r="S113" s="245">
        <f t="shared" si="50"/>
        <v>16517.697706667808</v>
      </c>
      <c r="T113" s="246">
        <f t="shared" si="51"/>
        <v>4167.0644000581588</v>
      </c>
      <c r="U113" s="239">
        <f t="shared" si="40"/>
        <v>102562.73490942776</v>
      </c>
    </row>
    <row r="114" spans="2:21" x14ac:dyDescent="0.25">
      <c r="B114" s="29">
        <v>2035</v>
      </c>
      <c r="C114" s="30">
        <f t="shared" si="53"/>
        <v>11262068.171486173</v>
      </c>
      <c r="D114" s="30">
        <f t="shared" si="54"/>
        <v>10970555.924677171</v>
      </c>
      <c r="E114" s="31">
        <f t="shared" si="41"/>
        <v>291512.24680900201</v>
      </c>
      <c r="G114" s="29">
        <v>2035</v>
      </c>
      <c r="H114" s="241">
        <f t="shared" si="52"/>
        <v>0.29151224680900201</v>
      </c>
      <c r="I114" s="242">
        <f t="shared" si="42"/>
        <v>1.6574972597899269E-2</v>
      </c>
      <c r="J114" s="242">
        <f t="shared" si="43"/>
        <v>9.6676616120673631E-2</v>
      </c>
      <c r="K114" s="242">
        <f t="shared" si="44"/>
        <v>0.21994462517172542</v>
      </c>
      <c r="L114" s="242">
        <f t="shared" si="45"/>
        <v>0.41467425926246981</v>
      </c>
      <c r="M114" s="243">
        <f t="shared" si="46"/>
        <v>1.8619148859599639</v>
      </c>
      <c r="O114" s="238">
        <v>2035</v>
      </c>
      <c r="P114" s="244">
        <f t="shared" si="47"/>
        <v>51367.520757398197</v>
      </c>
      <c r="Q114" s="245">
        <f t="shared" si="48"/>
        <v>16186.018933620235</v>
      </c>
      <c r="R114" s="245">
        <f t="shared" si="49"/>
        <v>14524.188800331902</v>
      </c>
      <c r="S114" s="245">
        <f t="shared" si="50"/>
        <v>16557.995529969256</v>
      </c>
      <c r="T114" s="246">
        <f t="shared" si="51"/>
        <v>4177.2306852064512</v>
      </c>
      <c r="U114" s="239">
        <f t="shared" si="40"/>
        <v>102812.95470652604</v>
      </c>
    </row>
    <row r="115" spans="2:21" x14ac:dyDescent="0.25">
      <c r="B115" s="29">
        <v>2036</v>
      </c>
      <c r="C115" s="30">
        <f t="shared" si="53"/>
        <v>11337768.852321358</v>
      </c>
      <c r="D115" s="30">
        <f t="shared" si="54"/>
        <v>11045547.141073206</v>
      </c>
      <c r="E115" s="31">
        <f t="shared" si="41"/>
        <v>292221.71124815196</v>
      </c>
      <c r="G115" s="29">
        <v>2036</v>
      </c>
      <c r="H115" s="241">
        <f t="shared" si="52"/>
        <v>0.29222171124815194</v>
      </c>
      <c r="I115" s="242">
        <f t="shared" si="42"/>
        <v>1.6574972597899269E-2</v>
      </c>
      <c r="J115" s="242">
        <f t="shared" si="43"/>
        <v>9.6676616120673631E-2</v>
      </c>
      <c r="K115" s="242">
        <f t="shared" si="44"/>
        <v>0.21994462517172542</v>
      </c>
      <c r="L115" s="242">
        <f t="shared" si="45"/>
        <v>0.41467425926246981</v>
      </c>
      <c r="M115" s="243">
        <f t="shared" si="46"/>
        <v>1.8619148859599639</v>
      </c>
      <c r="O115" s="238">
        <v>2036</v>
      </c>
      <c r="P115" s="244">
        <f t="shared" si="47"/>
        <v>51492.535845798753</v>
      </c>
      <c r="Q115" s="245">
        <f t="shared" si="48"/>
        <v>16225.411463335582</v>
      </c>
      <c r="R115" s="245">
        <f t="shared" si="49"/>
        <v>14559.536870864549</v>
      </c>
      <c r="S115" s="245">
        <f t="shared" si="50"/>
        <v>16598.293353270699</v>
      </c>
      <c r="T115" s="246">
        <f t="shared" si="51"/>
        <v>4187.3969703547446</v>
      </c>
      <c r="U115" s="239">
        <f t="shared" si="40"/>
        <v>103063.17450362434</v>
      </c>
    </row>
    <row r="116" spans="2:21" x14ac:dyDescent="0.25">
      <c r="B116" s="29">
        <v>2037</v>
      </c>
      <c r="C116" s="30">
        <f t="shared" si="53"/>
        <v>11413469.533156544</v>
      </c>
      <c r="D116" s="30">
        <f t="shared" si="54"/>
        <v>11120538.357469242</v>
      </c>
      <c r="E116" s="31">
        <f t="shared" si="41"/>
        <v>292931.1756873019</v>
      </c>
      <c r="G116" s="29">
        <v>2037</v>
      </c>
      <c r="H116" s="241">
        <f t="shared" si="52"/>
        <v>0.29293117568730193</v>
      </c>
      <c r="I116" s="242">
        <f t="shared" si="42"/>
        <v>1.6574972597899269E-2</v>
      </c>
      <c r="J116" s="242">
        <f t="shared" si="43"/>
        <v>9.6676616120673631E-2</v>
      </c>
      <c r="K116" s="242">
        <f t="shared" si="44"/>
        <v>0.21994462517172542</v>
      </c>
      <c r="L116" s="242">
        <f t="shared" si="45"/>
        <v>0.41467425926246981</v>
      </c>
      <c r="M116" s="243">
        <f t="shared" si="46"/>
        <v>1.8619148859599639</v>
      </c>
      <c r="O116" s="238">
        <v>2037</v>
      </c>
      <c r="P116" s="244">
        <f t="shared" si="47"/>
        <v>51617.550934199309</v>
      </c>
      <c r="Q116" s="245">
        <f t="shared" si="48"/>
        <v>16264.803993050931</v>
      </c>
      <c r="R116" s="245">
        <f t="shared" si="49"/>
        <v>14594.8849413972</v>
      </c>
      <c r="S116" s="245">
        <f t="shared" si="50"/>
        <v>16638.59117657215</v>
      </c>
      <c r="T116" s="246">
        <f t="shared" si="51"/>
        <v>4197.5632555030379</v>
      </c>
      <c r="U116" s="239">
        <f t="shared" si="40"/>
        <v>103313.39430072263</v>
      </c>
    </row>
    <row r="117" spans="2:21" x14ac:dyDescent="0.25">
      <c r="B117" s="29">
        <v>2038</v>
      </c>
      <c r="C117" s="30">
        <f t="shared" si="53"/>
        <v>11489170.21399173</v>
      </c>
      <c r="D117" s="30">
        <f t="shared" si="54"/>
        <v>11195529.573865278</v>
      </c>
      <c r="E117" s="31">
        <f t="shared" si="41"/>
        <v>293640.64012645185</v>
      </c>
      <c r="G117" s="29">
        <v>2038</v>
      </c>
      <c r="H117" s="241">
        <f t="shared" si="52"/>
        <v>0.29364064012645186</v>
      </c>
      <c r="I117" s="242">
        <f t="shared" si="42"/>
        <v>1.6574972597899269E-2</v>
      </c>
      <c r="J117" s="242">
        <f t="shared" si="43"/>
        <v>9.6676616120673631E-2</v>
      </c>
      <c r="K117" s="242">
        <f t="shared" si="44"/>
        <v>0.21994462517172542</v>
      </c>
      <c r="L117" s="242">
        <f t="shared" si="45"/>
        <v>0.41467425926246981</v>
      </c>
      <c r="M117" s="243">
        <f t="shared" si="46"/>
        <v>1.8619148859599639</v>
      </c>
      <c r="O117" s="238">
        <v>2038</v>
      </c>
      <c r="P117" s="244">
        <f t="shared" si="47"/>
        <v>51742.566022599865</v>
      </c>
      <c r="Q117" s="245">
        <f t="shared" si="48"/>
        <v>16304.196522766279</v>
      </c>
      <c r="R117" s="245">
        <f t="shared" si="49"/>
        <v>14630.233011929848</v>
      </c>
      <c r="S117" s="245">
        <f t="shared" si="50"/>
        <v>16678.888999873598</v>
      </c>
      <c r="T117" s="246">
        <f t="shared" si="51"/>
        <v>4207.7295406513313</v>
      </c>
      <c r="U117" s="239">
        <f t="shared" si="40"/>
        <v>103563.61409782092</v>
      </c>
    </row>
    <row r="118" spans="2:21" x14ac:dyDescent="0.25">
      <c r="B118" s="29">
        <v>2039</v>
      </c>
      <c r="C118" s="30">
        <f t="shared" si="53"/>
        <v>11564870.894826915</v>
      </c>
      <c r="D118" s="30">
        <f t="shared" si="54"/>
        <v>11270520.790261313</v>
      </c>
      <c r="E118" s="31">
        <f t="shared" si="41"/>
        <v>294350.1045656018</v>
      </c>
      <c r="G118" s="29">
        <v>2039</v>
      </c>
      <c r="H118" s="241">
        <f t="shared" si="52"/>
        <v>0.29435010456560179</v>
      </c>
      <c r="I118" s="242">
        <f t="shared" si="42"/>
        <v>1.6574972597899269E-2</v>
      </c>
      <c r="J118" s="242">
        <f t="shared" si="43"/>
        <v>9.6676616120673631E-2</v>
      </c>
      <c r="K118" s="242">
        <f t="shared" si="44"/>
        <v>0.21994462517172542</v>
      </c>
      <c r="L118" s="242">
        <f t="shared" si="45"/>
        <v>0.41467425926246981</v>
      </c>
      <c r="M118" s="243">
        <f t="shared" si="46"/>
        <v>1.8619148859599639</v>
      </c>
      <c r="O118" s="238">
        <v>2039</v>
      </c>
      <c r="P118" s="244">
        <f t="shared" si="47"/>
        <v>51867.581111000407</v>
      </c>
      <c r="Q118" s="245">
        <f t="shared" si="48"/>
        <v>16343.589052481626</v>
      </c>
      <c r="R118" s="245">
        <f t="shared" si="49"/>
        <v>14665.581082462493</v>
      </c>
      <c r="S118" s="245">
        <f t="shared" si="50"/>
        <v>16719.186823175041</v>
      </c>
      <c r="T118" s="246">
        <f t="shared" si="51"/>
        <v>4217.8958257996246</v>
      </c>
      <c r="U118" s="239">
        <f t="shared" si="40"/>
        <v>103813.8338949192</v>
      </c>
    </row>
    <row r="119" spans="2:21" x14ac:dyDescent="0.25">
      <c r="B119" s="29">
        <v>2040</v>
      </c>
      <c r="C119" s="30">
        <f t="shared" si="53"/>
        <v>11640571.575662101</v>
      </c>
      <c r="D119" s="30">
        <f t="shared" si="54"/>
        <v>11345512.006657349</v>
      </c>
      <c r="E119" s="31">
        <f t="shared" si="41"/>
        <v>295059.56900475174</v>
      </c>
      <c r="G119" s="29">
        <v>2040</v>
      </c>
      <c r="H119" s="241">
        <f t="shared" si="52"/>
        <v>0.29505956900475172</v>
      </c>
      <c r="I119" s="242">
        <f t="shared" si="42"/>
        <v>1.6574972597899269E-2</v>
      </c>
      <c r="J119" s="242">
        <f t="shared" si="43"/>
        <v>9.6676616120673631E-2</v>
      </c>
      <c r="K119" s="242">
        <f t="shared" si="44"/>
        <v>0.21994462517172542</v>
      </c>
      <c r="L119" s="242">
        <f t="shared" si="45"/>
        <v>0.41467425926246981</v>
      </c>
      <c r="M119" s="243">
        <f t="shared" si="46"/>
        <v>1.8619148859599639</v>
      </c>
      <c r="O119" s="238">
        <v>2040</v>
      </c>
      <c r="P119" s="244">
        <f t="shared" si="47"/>
        <v>51992.596199400949</v>
      </c>
      <c r="Q119" s="245">
        <f t="shared" si="48"/>
        <v>16382.98158219697</v>
      </c>
      <c r="R119" s="245">
        <f t="shared" si="49"/>
        <v>14700.929152995144</v>
      </c>
      <c r="S119" s="245">
        <f t="shared" si="50"/>
        <v>16759.484646476489</v>
      </c>
      <c r="T119" s="246">
        <f t="shared" si="51"/>
        <v>4228.0621109479171</v>
      </c>
      <c r="U119" s="239">
        <f t="shared" si="40"/>
        <v>104064.05369201746</v>
      </c>
    </row>
    <row r="120" spans="2:21" ht="17.25" thickBot="1" x14ac:dyDescent="0.3">
      <c r="B120" s="71">
        <v>2041</v>
      </c>
      <c r="C120" s="33">
        <f>SUM(Traffic!S6,Traffic!S21,Traffic!S22,Traffic!S47)*365</f>
        <v>11716272.256497303</v>
      </c>
      <c r="D120" s="33">
        <f>SUM(Traffic!AF6,Traffic!AF21,Traffic!AF22,Traffic!AF47)*365</f>
        <v>11420503.22305337</v>
      </c>
      <c r="E120" s="34">
        <f t="shared" si="41"/>
        <v>295769.03344393335</v>
      </c>
      <c r="G120" s="71">
        <v>2041</v>
      </c>
      <c r="H120" s="259">
        <f t="shared" si="52"/>
        <v>0.29576903344393335</v>
      </c>
      <c r="I120" s="247">
        <f t="shared" si="42"/>
        <v>1.6574972597899269E-2</v>
      </c>
      <c r="J120" s="247">
        <f t="shared" si="43"/>
        <v>9.6676616120673631E-2</v>
      </c>
      <c r="K120" s="247">
        <f t="shared" si="44"/>
        <v>0.21994462517172542</v>
      </c>
      <c r="L120" s="247">
        <f t="shared" si="45"/>
        <v>0.41467425926246981</v>
      </c>
      <c r="M120" s="248">
        <f t="shared" si="46"/>
        <v>1.8619148859599639</v>
      </c>
      <c r="O120" s="249">
        <v>2041</v>
      </c>
      <c r="P120" s="250">
        <f t="shared" si="47"/>
        <v>52117.611287807093</v>
      </c>
      <c r="Q120" s="251">
        <f t="shared" si="48"/>
        <v>16422.374111914076</v>
      </c>
      <c r="R120" s="251">
        <f t="shared" si="49"/>
        <v>14736.277223529369</v>
      </c>
      <c r="S120" s="251">
        <f t="shared" si="50"/>
        <v>16799.782469779737</v>
      </c>
      <c r="T120" s="252">
        <f t="shared" si="51"/>
        <v>4238.2283960966643</v>
      </c>
      <c r="U120" s="253">
        <f t="shared" si="40"/>
        <v>104314.27348912692</v>
      </c>
    </row>
    <row r="121" spans="2:21" ht="16.5" customHeight="1" x14ac:dyDescent="0.25">
      <c r="G121" s="41"/>
      <c r="H121" s="41"/>
      <c r="I121" s="41"/>
      <c r="J121" s="41"/>
      <c r="K121" s="41"/>
      <c r="L121" s="41"/>
      <c r="M121" s="41"/>
      <c r="O121" s="35"/>
      <c r="P121" s="35"/>
      <c r="Q121" s="35"/>
      <c r="R121" s="35"/>
      <c r="S121" s="35"/>
      <c r="T121" s="35"/>
      <c r="U121" s="258"/>
    </row>
    <row r="122" spans="2:21" ht="16.5" customHeight="1" x14ac:dyDescent="0.25">
      <c r="G122" s="41"/>
      <c r="H122" s="41"/>
      <c r="I122" s="41"/>
      <c r="J122" s="41"/>
      <c r="K122" s="41"/>
      <c r="L122" s="41"/>
      <c r="M122" s="41"/>
      <c r="O122" s="35"/>
      <c r="P122" s="35"/>
      <c r="Q122" s="35"/>
      <c r="R122" s="35"/>
      <c r="S122" s="35"/>
      <c r="T122" s="35"/>
      <c r="U122" s="258"/>
    </row>
    <row r="123" spans="2:21" s="314" customFormat="1" ht="34.5" customHeight="1" thickBot="1" x14ac:dyDescent="0.3">
      <c r="B123" s="186" t="s">
        <v>251</v>
      </c>
      <c r="C123" s="186"/>
      <c r="D123" s="186"/>
      <c r="E123" s="186"/>
      <c r="G123" s="185" t="s">
        <v>252</v>
      </c>
      <c r="H123" s="185"/>
      <c r="I123" s="185"/>
      <c r="J123" s="185"/>
      <c r="K123" s="185"/>
      <c r="L123" s="185"/>
      <c r="M123" s="185"/>
      <c r="O123" s="344" t="s">
        <v>253</v>
      </c>
      <c r="P123" s="344"/>
      <c r="Q123" s="344"/>
      <c r="R123" s="344"/>
      <c r="S123" s="344"/>
      <c r="T123" s="344"/>
      <c r="U123" s="344"/>
    </row>
    <row r="124" spans="2:21" ht="16.5" customHeight="1" x14ac:dyDescent="0.25">
      <c r="B124" s="148" t="s">
        <v>19</v>
      </c>
      <c r="C124" s="150" t="s">
        <v>225</v>
      </c>
      <c r="D124" s="150" t="s">
        <v>224</v>
      </c>
      <c r="E124" s="152" t="s">
        <v>47</v>
      </c>
      <c r="G124" s="155" t="s">
        <v>19</v>
      </c>
      <c r="H124" s="157" t="s">
        <v>79</v>
      </c>
      <c r="I124" s="226" t="s">
        <v>81</v>
      </c>
      <c r="J124" s="226"/>
      <c r="K124" s="226"/>
      <c r="L124" s="226"/>
      <c r="M124" s="227"/>
      <c r="O124" s="168" t="s">
        <v>19</v>
      </c>
      <c r="P124" s="228" t="s">
        <v>78</v>
      </c>
      <c r="Q124" s="229"/>
      <c r="R124" s="229"/>
      <c r="S124" s="229"/>
      <c r="T124" s="230"/>
      <c r="U124" s="179" t="s">
        <v>80</v>
      </c>
    </row>
    <row r="125" spans="2:21" ht="15" customHeight="1" thickBot="1" x14ac:dyDescent="0.3">
      <c r="B125" s="149"/>
      <c r="C125" s="151"/>
      <c r="D125" s="151"/>
      <c r="E125" s="153"/>
      <c r="G125" s="156"/>
      <c r="H125" s="158"/>
      <c r="I125" s="231" t="s">
        <v>21</v>
      </c>
      <c r="J125" s="231" t="s">
        <v>22</v>
      </c>
      <c r="K125" s="231" t="s">
        <v>23</v>
      </c>
      <c r="L125" s="231" t="s">
        <v>24</v>
      </c>
      <c r="M125" s="232" t="s">
        <v>25</v>
      </c>
      <c r="O125" s="169"/>
      <c r="P125" s="233" t="s">
        <v>21</v>
      </c>
      <c r="Q125" s="233" t="s">
        <v>22</v>
      </c>
      <c r="R125" s="233" t="s">
        <v>23</v>
      </c>
      <c r="S125" s="233" t="s">
        <v>24</v>
      </c>
      <c r="T125" s="234" t="s">
        <v>25</v>
      </c>
      <c r="U125" s="180"/>
    </row>
    <row r="126" spans="2:21" ht="14.45" customHeight="1" x14ac:dyDescent="0.25">
      <c r="B126" s="111">
        <v>2017</v>
      </c>
      <c r="C126" s="132" t="s">
        <v>60</v>
      </c>
      <c r="D126" s="133"/>
      <c r="E126" s="134"/>
      <c r="G126" s="70">
        <v>2017</v>
      </c>
      <c r="H126" s="159" t="s">
        <v>60</v>
      </c>
      <c r="I126" s="160"/>
      <c r="J126" s="160"/>
      <c r="K126" s="160"/>
      <c r="L126" s="160"/>
      <c r="M126" s="161"/>
      <c r="O126" s="235">
        <v>2017</v>
      </c>
      <c r="P126" s="170" t="s">
        <v>60</v>
      </c>
      <c r="Q126" s="171"/>
      <c r="R126" s="171"/>
      <c r="S126" s="171"/>
      <c r="T126" s="172"/>
      <c r="U126" s="236">
        <f>SUM(P126:T126)</f>
        <v>0</v>
      </c>
    </row>
    <row r="127" spans="2:21" ht="14.45" customHeight="1" x14ac:dyDescent="0.25">
      <c r="B127" s="29">
        <v>2018</v>
      </c>
      <c r="C127" s="132"/>
      <c r="D127" s="133"/>
      <c r="E127" s="134"/>
      <c r="G127" s="29">
        <v>2018</v>
      </c>
      <c r="H127" s="162"/>
      <c r="I127" s="163"/>
      <c r="J127" s="163"/>
      <c r="K127" s="163"/>
      <c r="L127" s="163"/>
      <c r="M127" s="164"/>
      <c r="O127" s="238">
        <v>2018</v>
      </c>
      <c r="P127" s="173"/>
      <c r="Q127" s="174"/>
      <c r="R127" s="174"/>
      <c r="S127" s="174"/>
      <c r="T127" s="175"/>
      <c r="U127" s="239">
        <f t="shared" ref="U127:U150" si="55">SUM(P127:T127)</f>
        <v>0</v>
      </c>
    </row>
    <row r="128" spans="2:21" ht="14.45" customHeight="1" x14ac:dyDescent="0.25">
      <c r="B128" s="29">
        <v>2019</v>
      </c>
      <c r="C128" s="132"/>
      <c r="D128" s="133"/>
      <c r="E128" s="134"/>
      <c r="G128" s="29">
        <v>2019</v>
      </c>
      <c r="H128" s="162"/>
      <c r="I128" s="163"/>
      <c r="J128" s="163"/>
      <c r="K128" s="163"/>
      <c r="L128" s="163"/>
      <c r="M128" s="164"/>
      <c r="O128" s="238">
        <v>2019</v>
      </c>
      <c r="P128" s="173"/>
      <c r="Q128" s="174"/>
      <c r="R128" s="174"/>
      <c r="S128" s="174"/>
      <c r="T128" s="175"/>
      <c r="U128" s="239">
        <f t="shared" si="55"/>
        <v>0</v>
      </c>
    </row>
    <row r="129" spans="2:21" ht="14.45" customHeight="1" x14ac:dyDescent="0.25">
      <c r="B129" s="29">
        <v>2020</v>
      </c>
      <c r="C129" s="132"/>
      <c r="D129" s="133"/>
      <c r="E129" s="134"/>
      <c r="G129" s="29">
        <v>2020</v>
      </c>
      <c r="H129" s="162"/>
      <c r="I129" s="163"/>
      <c r="J129" s="163"/>
      <c r="K129" s="163"/>
      <c r="L129" s="163"/>
      <c r="M129" s="164"/>
      <c r="O129" s="238">
        <v>2020</v>
      </c>
      <c r="P129" s="173"/>
      <c r="Q129" s="174"/>
      <c r="R129" s="174"/>
      <c r="S129" s="174"/>
      <c r="T129" s="175"/>
      <c r="U129" s="239">
        <f t="shared" si="55"/>
        <v>0</v>
      </c>
    </row>
    <row r="130" spans="2:21" ht="14.45" customHeight="1" x14ac:dyDescent="0.25">
      <c r="B130" s="29">
        <v>2021</v>
      </c>
      <c r="C130" s="135"/>
      <c r="D130" s="136"/>
      <c r="E130" s="137"/>
      <c r="G130" s="29">
        <v>2021</v>
      </c>
      <c r="H130" s="165"/>
      <c r="I130" s="166"/>
      <c r="J130" s="166"/>
      <c r="K130" s="166"/>
      <c r="L130" s="166"/>
      <c r="M130" s="167"/>
      <c r="O130" s="238">
        <v>2021</v>
      </c>
      <c r="P130" s="176"/>
      <c r="Q130" s="177"/>
      <c r="R130" s="177"/>
      <c r="S130" s="177"/>
      <c r="T130" s="178"/>
      <c r="U130" s="239">
        <f t="shared" si="55"/>
        <v>0</v>
      </c>
    </row>
    <row r="131" spans="2:21" x14ac:dyDescent="0.25">
      <c r="B131" s="29">
        <v>2022</v>
      </c>
      <c r="C131" s="30">
        <f>SUM(Traffic!R8:R18,Traffic!R23,Traffic!R27:R32,Traffic!R41:R46)*365</f>
        <v>111218297.74104239</v>
      </c>
      <c r="D131" s="30">
        <f>SUM(Traffic!AE8:AE18,Traffic!AE23,Traffic!AE27:AE32,Traffic!AE41:AE46)*365</f>
        <v>107630061.97543566</v>
      </c>
      <c r="E131" s="31">
        <f t="shared" ref="E131:E150" si="56">C131-D131</f>
        <v>3588235.7656067312</v>
      </c>
      <c r="G131" s="29">
        <v>2022</v>
      </c>
      <c r="H131" s="241">
        <f>E131/1000000</f>
        <v>3.588235765606731</v>
      </c>
      <c r="I131" s="242">
        <f t="shared" ref="I131:I150" si="57">$S$215</f>
        <v>1.2176280096176615E-2</v>
      </c>
      <c r="J131" s="242">
        <f t="shared" ref="J131:J150" si="58">$S$216</f>
        <v>8.3486545895154182E-2</v>
      </c>
      <c r="K131" s="242">
        <f t="shared" ref="K131:K150" si="59">$S$217</f>
        <v>0.37508898363571225</v>
      </c>
      <c r="L131" s="242">
        <f t="shared" ref="L131:L150" si="60">$S$218</f>
        <v>0.70717684655949831</v>
      </c>
      <c r="M131" s="243">
        <f t="shared" ref="M131:M150" si="61">$S$219</f>
        <v>3.1752708739558932</v>
      </c>
      <c r="O131" s="238">
        <v>2022</v>
      </c>
      <c r="P131" s="244">
        <f t="shared" ref="P131:P150" si="62">$H131*$I131*$Z$215</f>
        <v>464488.08901754307</v>
      </c>
      <c r="Q131" s="245">
        <f t="shared" ref="Q131:Q150" si="63">$H131*$J131*$Z$216</f>
        <v>172051.81661210992</v>
      </c>
      <c r="R131" s="245">
        <f t="shared" ref="R131:R150" si="64">$H131*$K131*$Z$217</f>
        <v>304885.66631869104</v>
      </c>
      <c r="S131" s="245">
        <f t="shared" ref="S131:S150" si="65">$H131*$L131*$Z$218</f>
        <v>347578.48231367115</v>
      </c>
      <c r="T131" s="246">
        <f t="shared" ref="T131:T150" si="66">$H131*$M131*$Z$219</f>
        <v>87686.670721117844</v>
      </c>
      <c r="U131" s="239">
        <f t="shared" si="55"/>
        <v>1376690.7249831331</v>
      </c>
    </row>
    <row r="132" spans="2:21" x14ac:dyDescent="0.25">
      <c r="B132" s="29">
        <v>2023</v>
      </c>
      <c r="C132" s="30">
        <f>($C$150-$C$131)/19+C131</f>
        <v>112203198.8981597</v>
      </c>
      <c r="D132" s="30">
        <f>($D$150-$D$131)/19+D131</f>
        <v>108603044.02722502</v>
      </c>
      <c r="E132" s="31">
        <f t="shared" si="56"/>
        <v>3600154.8709346801</v>
      </c>
      <c r="G132" s="29">
        <v>2023</v>
      </c>
      <c r="H132" s="241">
        <f t="shared" ref="H132:H150" si="67">E132/1000000</f>
        <v>3.6001548709346802</v>
      </c>
      <c r="I132" s="242">
        <f t="shared" si="57"/>
        <v>1.2176280096176615E-2</v>
      </c>
      <c r="J132" s="242">
        <f t="shared" si="58"/>
        <v>8.3486545895154182E-2</v>
      </c>
      <c r="K132" s="242">
        <f t="shared" si="59"/>
        <v>0.37508898363571225</v>
      </c>
      <c r="L132" s="242">
        <f t="shared" si="60"/>
        <v>0.70717684655949831</v>
      </c>
      <c r="M132" s="243">
        <f t="shared" si="61"/>
        <v>3.1752708739558932</v>
      </c>
      <c r="O132" s="238">
        <v>2023</v>
      </c>
      <c r="P132" s="244">
        <f t="shared" si="62"/>
        <v>466030.98720434646</v>
      </c>
      <c r="Q132" s="245">
        <f t="shared" si="63"/>
        <v>172623.32413224582</v>
      </c>
      <c r="R132" s="245">
        <f t="shared" si="64"/>
        <v>305898.41035426024</v>
      </c>
      <c r="S132" s="245">
        <f t="shared" si="65"/>
        <v>348733.03982077102</v>
      </c>
      <c r="T132" s="246">
        <f t="shared" si="66"/>
        <v>87977.941064666607</v>
      </c>
      <c r="U132" s="239">
        <f t="shared" si="55"/>
        <v>1381263.7025762904</v>
      </c>
    </row>
    <row r="133" spans="2:21" x14ac:dyDescent="0.25">
      <c r="B133" s="29">
        <v>2024</v>
      </c>
      <c r="C133" s="30">
        <f t="shared" ref="C133:C149" si="68">($C$150-$C$131)/19+C132</f>
        <v>113188100.055277</v>
      </c>
      <c r="D133" s="30">
        <f t="shared" ref="D133:D149" si="69">($D$150-$D$131)/19+D132</f>
        <v>109576026.07901438</v>
      </c>
      <c r="E133" s="31">
        <f t="shared" si="56"/>
        <v>3612073.976262629</v>
      </c>
      <c r="G133" s="29">
        <v>2024</v>
      </c>
      <c r="H133" s="241">
        <f t="shared" si="67"/>
        <v>3.612073976262629</v>
      </c>
      <c r="I133" s="242">
        <f t="shared" si="57"/>
        <v>1.2176280096176615E-2</v>
      </c>
      <c r="J133" s="242">
        <f t="shared" si="58"/>
        <v>8.3486545895154182E-2</v>
      </c>
      <c r="K133" s="242">
        <f t="shared" si="59"/>
        <v>0.37508898363571225</v>
      </c>
      <c r="L133" s="242">
        <f t="shared" si="60"/>
        <v>0.70717684655949831</v>
      </c>
      <c r="M133" s="243">
        <f t="shared" si="61"/>
        <v>3.1752708739558932</v>
      </c>
      <c r="O133" s="238">
        <v>2024</v>
      </c>
      <c r="P133" s="244">
        <f t="shared" si="62"/>
        <v>467573.8853911499</v>
      </c>
      <c r="Q133" s="245">
        <f t="shared" si="63"/>
        <v>173194.83165238166</v>
      </c>
      <c r="R133" s="245">
        <f t="shared" si="64"/>
        <v>306911.15438982949</v>
      </c>
      <c r="S133" s="245">
        <f t="shared" si="65"/>
        <v>349887.59732787084</v>
      </c>
      <c r="T133" s="246">
        <f t="shared" si="66"/>
        <v>88269.211408215357</v>
      </c>
      <c r="U133" s="239">
        <f t="shared" si="55"/>
        <v>1385836.6801694473</v>
      </c>
    </row>
    <row r="134" spans="2:21" x14ac:dyDescent="0.25">
      <c r="B134" s="29">
        <v>2025</v>
      </c>
      <c r="C134" s="30">
        <f t="shared" si="68"/>
        <v>114173001.21239431</v>
      </c>
      <c r="D134" s="30">
        <f t="shared" si="69"/>
        <v>110549008.13080373</v>
      </c>
      <c r="E134" s="31">
        <f t="shared" si="56"/>
        <v>3623993.081590578</v>
      </c>
      <c r="G134" s="29">
        <v>2025</v>
      </c>
      <c r="H134" s="241">
        <f t="shared" si="67"/>
        <v>3.6239930815905779</v>
      </c>
      <c r="I134" s="242">
        <f t="shared" si="57"/>
        <v>1.2176280096176615E-2</v>
      </c>
      <c r="J134" s="242">
        <f t="shared" si="58"/>
        <v>8.3486545895154182E-2</v>
      </c>
      <c r="K134" s="242">
        <f t="shared" si="59"/>
        <v>0.37508898363571225</v>
      </c>
      <c r="L134" s="242">
        <f t="shared" si="60"/>
        <v>0.70717684655949831</v>
      </c>
      <c r="M134" s="243">
        <f t="shared" si="61"/>
        <v>3.1752708739558932</v>
      </c>
      <c r="O134" s="238">
        <v>2025</v>
      </c>
      <c r="P134" s="244">
        <f t="shared" si="62"/>
        <v>469116.78357795329</v>
      </c>
      <c r="Q134" s="245">
        <f t="shared" si="63"/>
        <v>173766.3391725175</v>
      </c>
      <c r="R134" s="245">
        <f t="shared" si="64"/>
        <v>307923.89842539869</v>
      </c>
      <c r="S134" s="245">
        <f t="shared" si="65"/>
        <v>351042.1548349706</v>
      </c>
      <c r="T134" s="246">
        <f t="shared" si="66"/>
        <v>88560.481751764106</v>
      </c>
      <c r="U134" s="239">
        <f t="shared" si="55"/>
        <v>1390409.6577626043</v>
      </c>
    </row>
    <row r="135" spans="2:21" x14ac:dyDescent="0.25">
      <c r="B135" s="29">
        <v>2026</v>
      </c>
      <c r="C135" s="30">
        <f t="shared" si="68"/>
        <v>115157902.36951162</v>
      </c>
      <c r="D135" s="30">
        <f t="shared" si="69"/>
        <v>111521990.18259309</v>
      </c>
      <c r="E135" s="31">
        <f t="shared" si="56"/>
        <v>3635912.1869185269</v>
      </c>
      <c r="G135" s="29">
        <v>2026</v>
      </c>
      <c r="H135" s="241">
        <f t="shared" si="67"/>
        <v>3.6359121869185267</v>
      </c>
      <c r="I135" s="242">
        <f t="shared" si="57"/>
        <v>1.2176280096176615E-2</v>
      </c>
      <c r="J135" s="242">
        <f t="shared" si="58"/>
        <v>8.3486545895154182E-2</v>
      </c>
      <c r="K135" s="242">
        <f t="shared" si="59"/>
        <v>0.37508898363571225</v>
      </c>
      <c r="L135" s="242">
        <f t="shared" si="60"/>
        <v>0.70717684655949831</v>
      </c>
      <c r="M135" s="243">
        <f t="shared" si="61"/>
        <v>3.1752708739558932</v>
      </c>
      <c r="O135" s="238">
        <v>2026</v>
      </c>
      <c r="P135" s="244">
        <f t="shared" si="62"/>
        <v>470659.68176475674</v>
      </c>
      <c r="Q135" s="245">
        <f t="shared" si="63"/>
        <v>174337.84669265337</v>
      </c>
      <c r="R135" s="245">
        <f t="shared" si="64"/>
        <v>308936.64246096788</v>
      </c>
      <c r="S135" s="245">
        <f t="shared" si="65"/>
        <v>352196.71234207042</v>
      </c>
      <c r="T135" s="246">
        <f t="shared" si="66"/>
        <v>88851.752095312841</v>
      </c>
      <c r="U135" s="239">
        <f t="shared" si="55"/>
        <v>1394982.6353557613</v>
      </c>
    </row>
    <row r="136" spans="2:21" x14ac:dyDescent="0.25">
      <c r="B136" s="29">
        <v>2027</v>
      </c>
      <c r="C136" s="30">
        <f t="shared" si="68"/>
        <v>116142803.52662893</v>
      </c>
      <c r="D136" s="30">
        <f t="shared" si="69"/>
        <v>112494972.23438245</v>
      </c>
      <c r="E136" s="31">
        <f t="shared" si="56"/>
        <v>3647831.2922464758</v>
      </c>
      <c r="G136" s="29">
        <v>2027</v>
      </c>
      <c r="H136" s="241">
        <f t="shared" si="67"/>
        <v>3.647831292246476</v>
      </c>
      <c r="I136" s="242">
        <f t="shared" si="57"/>
        <v>1.2176280096176615E-2</v>
      </c>
      <c r="J136" s="242">
        <f t="shared" si="58"/>
        <v>8.3486545895154182E-2</v>
      </c>
      <c r="K136" s="242">
        <f t="shared" si="59"/>
        <v>0.37508898363571225</v>
      </c>
      <c r="L136" s="242">
        <f t="shared" si="60"/>
        <v>0.70717684655949831</v>
      </c>
      <c r="M136" s="243">
        <f t="shared" si="61"/>
        <v>3.1752708739558932</v>
      </c>
      <c r="O136" s="238">
        <v>2027</v>
      </c>
      <c r="P136" s="244">
        <f t="shared" si="62"/>
        <v>472202.57995156018</v>
      </c>
      <c r="Q136" s="245">
        <f t="shared" si="63"/>
        <v>174909.35421278921</v>
      </c>
      <c r="R136" s="245">
        <f t="shared" si="64"/>
        <v>309949.38649653713</v>
      </c>
      <c r="S136" s="245">
        <f t="shared" si="65"/>
        <v>353351.26984917023</v>
      </c>
      <c r="T136" s="246">
        <f t="shared" si="66"/>
        <v>89143.022438861604</v>
      </c>
      <c r="U136" s="239">
        <f t="shared" si="55"/>
        <v>1399555.6129489185</v>
      </c>
    </row>
    <row r="137" spans="2:21" x14ac:dyDescent="0.25">
      <c r="B137" s="29">
        <v>2028</v>
      </c>
      <c r="C137" s="30">
        <f t="shared" si="68"/>
        <v>117127704.68374623</v>
      </c>
      <c r="D137" s="30">
        <f t="shared" si="69"/>
        <v>113467954.28617181</v>
      </c>
      <c r="E137" s="31">
        <f t="shared" si="56"/>
        <v>3659750.3975744247</v>
      </c>
      <c r="G137" s="29">
        <v>2028</v>
      </c>
      <c r="H137" s="241">
        <f t="shared" si="67"/>
        <v>3.6597503975744248</v>
      </c>
      <c r="I137" s="242">
        <f t="shared" si="57"/>
        <v>1.2176280096176615E-2</v>
      </c>
      <c r="J137" s="242">
        <f t="shared" si="58"/>
        <v>8.3486545895154182E-2</v>
      </c>
      <c r="K137" s="242">
        <f t="shared" si="59"/>
        <v>0.37508898363571225</v>
      </c>
      <c r="L137" s="242">
        <f t="shared" si="60"/>
        <v>0.70717684655949831</v>
      </c>
      <c r="M137" s="243">
        <f t="shared" si="61"/>
        <v>3.1752708739558932</v>
      </c>
      <c r="O137" s="238">
        <v>2028</v>
      </c>
      <c r="P137" s="244">
        <f t="shared" si="62"/>
        <v>473745.47813836357</v>
      </c>
      <c r="Q137" s="245">
        <f t="shared" si="63"/>
        <v>175480.86173292508</v>
      </c>
      <c r="R137" s="245">
        <f t="shared" si="64"/>
        <v>310962.13053210633</v>
      </c>
      <c r="S137" s="245">
        <f t="shared" si="65"/>
        <v>354505.82735627005</v>
      </c>
      <c r="T137" s="246">
        <f t="shared" si="66"/>
        <v>89434.292782410354</v>
      </c>
      <c r="U137" s="239">
        <f t="shared" si="55"/>
        <v>1404128.5905420752</v>
      </c>
    </row>
    <row r="138" spans="2:21" x14ac:dyDescent="0.25">
      <c r="B138" s="29">
        <v>2029</v>
      </c>
      <c r="C138" s="30">
        <f t="shared" si="68"/>
        <v>118112605.84086354</v>
      </c>
      <c r="D138" s="30">
        <f t="shared" si="69"/>
        <v>114440936.33796117</v>
      </c>
      <c r="E138" s="31">
        <f t="shared" si="56"/>
        <v>3671669.5029023737</v>
      </c>
      <c r="G138" s="29">
        <v>2029</v>
      </c>
      <c r="H138" s="241">
        <f t="shared" si="67"/>
        <v>3.6716695029023736</v>
      </c>
      <c r="I138" s="242">
        <f t="shared" si="57"/>
        <v>1.2176280096176615E-2</v>
      </c>
      <c r="J138" s="242">
        <f t="shared" si="58"/>
        <v>8.3486545895154182E-2</v>
      </c>
      <c r="K138" s="242">
        <f t="shared" si="59"/>
        <v>0.37508898363571225</v>
      </c>
      <c r="L138" s="242">
        <f t="shared" si="60"/>
        <v>0.70717684655949831</v>
      </c>
      <c r="M138" s="243">
        <f t="shared" si="61"/>
        <v>3.1752708739558932</v>
      </c>
      <c r="O138" s="238">
        <v>2029</v>
      </c>
      <c r="P138" s="244">
        <f t="shared" si="62"/>
        <v>475288.37632516702</v>
      </c>
      <c r="Q138" s="245">
        <f t="shared" si="63"/>
        <v>176052.36925306093</v>
      </c>
      <c r="R138" s="245">
        <f t="shared" si="64"/>
        <v>311974.87456767558</v>
      </c>
      <c r="S138" s="245">
        <f t="shared" si="65"/>
        <v>355660.38486336981</v>
      </c>
      <c r="T138" s="246">
        <f t="shared" si="66"/>
        <v>89725.563125959088</v>
      </c>
      <c r="U138" s="239">
        <f t="shared" si="55"/>
        <v>1408701.5681352324</v>
      </c>
    </row>
    <row r="139" spans="2:21" x14ac:dyDescent="0.25">
      <c r="B139" s="29">
        <v>2030</v>
      </c>
      <c r="C139" s="30">
        <f t="shared" si="68"/>
        <v>119097506.99798085</v>
      </c>
      <c r="D139" s="30">
        <f t="shared" si="69"/>
        <v>115413918.38975053</v>
      </c>
      <c r="E139" s="31">
        <f t="shared" si="56"/>
        <v>3683588.6082303226</v>
      </c>
      <c r="G139" s="29">
        <v>2030</v>
      </c>
      <c r="H139" s="241">
        <f t="shared" si="67"/>
        <v>3.6835886082303224</v>
      </c>
      <c r="I139" s="242">
        <f t="shared" si="57"/>
        <v>1.2176280096176615E-2</v>
      </c>
      <c r="J139" s="242">
        <f t="shared" si="58"/>
        <v>8.3486545895154182E-2</v>
      </c>
      <c r="K139" s="242">
        <f t="shared" si="59"/>
        <v>0.37508898363571225</v>
      </c>
      <c r="L139" s="242">
        <f t="shared" si="60"/>
        <v>0.70717684655949831</v>
      </c>
      <c r="M139" s="243">
        <f t="shared" si="61"/>
        <v>3.1752708739558932</v>
      </c>
      <c r="O139" s="238">
        <v>2030</v>
      </c>
      <c r="P139" s="244">
        <f t="shared" si="62"/>
        <v>476831.27451197041</v>
      </c>
      <c r="Q139" s="245">
        <f t="shared" si="63"/>
        <v>176623.87677319677</v>
      </c>
      <c r="R139" s="245">
        <f t="shared" si="64"/>
        <v>312987.61860324471</v>
      </c>
      <c r="S139" s="245">
        <f t="shared" si="65"/>
        <v>356814.94237046962</v>
      </c>
      <c r="T139" s="246">
        <f t="shared" si="66"/>
        <v>90016.833469507837</v>
      </c>
      <c r="U139" s="239">
        <f t="shared" si="55"/>
        <v>1413274.5457283894</v>
      </c>
    </row>
    <row r="140" spans="2:21" x14ac:dyDescent="0.25">
      <c r="B140" s="29">
        <v>2031</v>
      </c>
      <c r="C140" s="30">
        <f t="shared" si="68"/>
        <v>120082408.15509816</v>
      </c>
      <c r="D140" s="30">
        <f t="shared" si="69"/>
        <v>116386900.44153988</v>
      </c>
      <c r="E140" s="31">
        <f t="shared" si="56"/>
        <v>3695507.7135582715</v>
      </c>
      <c r="G140" s="29">
        <v>2031</v>
      </c>
      <c r="H140" s="241">
        <f t="shared" si="67"/>
        <v>3.6955077135582717</v>
      </c>
      <c r="I140" s="242">
        <f t="shared" si="57"/>
        <v>1.2176280096176615E-2</v>
      </c>
      <c r="J140" s="242">
        <f t="shared" si="58"/>
        <v>8.3486545895154182E-2</v>
      </c>
      <c r="K140" s="242">
        <f t="shared" si="59"/>
        <v>0.37508898363571225</v>
      </c>
      <c r="L140" s="242">
        <f t="shared" si="60"/>
        <v>0.70717684655949831</v>
      </c>
      <c r="M140" s="243">
        <f t="shared" si="61"/>
        <v>3.1752708739558932</v>
      </c>
      <c r="O140" s="238">
        <v>2031</v>
      </c>
      <c r="P140" s="244">
        <f t="shared" si="62"/>
        <v>478374.17269877385</v>
      </c>
      <c r="Q140" s="245">
        <f t="shared" si="63"/>
        <v>177195.38429333267</v>
      </c>
      <c r="R140" s="245">
        <f t="shared" si="64"/>
        <v>314000.36263881403</v>
      </c>
      <c r="S140" s="245">
        <f t="shared" si="65"/>
        <v>357969.4998775695</v>
      </c>
      <c r="T140" s="246">
        <f t="shared" si="66"/>
        <v>90308.103813056601</v>
      </c>
      <c r="U140" s="239">
        <f t="shared" si="55"/>
        <v>1417847.5233215466</v>
      </c>
    </row>
    <row r="141" spans="2:21" x14ac:dyDescent="0.25">
      <c r="B141" s="29">
        <v>2032</v>
      </c>
      <c r="C141" s="30">
        <f t="shared" si="68"/>
        <v>121067309.31221546</v>
      </c>
      <c r="D141" s="30">
        <f t="shared" si="69"/>
        <v>117359882.49332924</v>
      </c>
      <c r="E141" s="31">
        <f t="shared" si="56"/>
        <v>3707426.8188862205</v>
      </c>
      <c r="G141" s="29">
        <v>2032</v>
      </c>
      <c r="H141" s="241">
        <f t="shared" si="67"/>
        <v>3.7074268188862205</v>
      </c>
      <c r="I141" s="242">
        <f t="shared" si="57"/>
        <v>1.2176280096176615E-2</v>
      </c>
      <c r="J141" s="242">
        <f t="shared" si="58"/>
        <v>8.3486545895154182E-2</v>
      </c>
      <c r="K141" s="242">
        <f t="shared" si="59"/>
        <v>0.37508898363571225</v>
      </c>
      <c r="L141" s="242">
        <f t="shared" si="60"/>
        <v>0.70717684655949831</v>
      </c>
      <c r="M141" s="243">
        <f t="shared" si="61"/>
        <v>3.1752708739558932</v>
      </c>
      <c r="O141" s="238">
        <v>2032</v>
      </c>
      <c r="P141" s="244">
        <f t="shared" si="62"/>
        <v>479917.0708855773</v>
      </c>
      <c r="Q141" s="245">
        <f t="shared" si="63"/>
        <v>177766.89181346851</v>
      </c>
      <c r="R141" s="245">
        <f t="shared" si="64"/>
        <v>315013.10667438322</v>
      </c>
      <c r="S141" s="245">
        <f t="shared" si="65"/>
        <v>359124.05738466926</v>
      </c>
      <c r="T141" s="246">
        <f t="shared" si="66"/>
        <v>90599.37415660535</v>
      </c>
      <c r="U141" s="239">
        <f t="shared" si="55"/>
        <v>1422420.5009147038</v>
      </c>
    </row>
    <row r="142" spans="2:21" x14ac:dyDescent="0.25">
      <c r="B142" s="29">
        <v>2033</v>
      </c>
      <c r="C142" s="30">
        <f t="shared" si="68"/>
        <v>122052210.46933277</v>
      </c>
      <c r="D142" s="30">
        <f t="shared" si="69"/>
        <v>118332864.5451186</v>
      </c>
      <c r="E142" s="31">
        <f t="shared" si="56"/>
        <v>3719345.9242141694</v>
      </c>
      <c r="G142" s="29">
        <v>2033</v>
      </c>
      <c r="H142" s="241">
        <f t="shared" si="67"/>
        <v>3.7193459242141693</v>
      </c>
      <c r="I142" s="242">
        <f t="shared" si="57"/>
        <v>1.2176280096176615E-2</v>
      </c>
      <c r="J142" s="242">
        <f t="shared" si="58"/>
        <v>8.3486545895154182E-2</v>
      </c>
      <c r="K142" s="242">
        <f t="shared" si="59"/>
        <v>0.37508898363571225</v>
      </c>
      <c r="L142" s="242">
        <f t="shared" si="60"/>
        <v>0.70717684655949831</v>
      </c>
      <c r="M142" s="243">
        <f t="shared" si="61"/>
        <v>3.1752708739558932</v>
      </c>
      <c r="O142" s="238">
        <v>2033</v>
      </c>
      <c r="P142" s="244">
        <f t="shared" si="62"/>
        <v>481459.96907238069</v>
      </c>
      <c r="Q142" s="245">
        <f t="shared" si="63"/>
        <v>178338.39933360435</v>
      </c>
      <c r="R142" s="245">
        <f t="shared" si="64"/>
        <v>316025.85070995247</v>
      </c>
      <c r="S142" s="245">
        <f t="shared" si="65"/>
        <v>360278.61489176913</v>
      </c>
      <c r="T142" s="246">
        <f t="shared" si="66"/>
        <v>90890.644500154085</v>
      </c>
      <c r="U142" s="239">
        <f t="shared" si="55"/>
        <v>1426993.4785078608</v>
      </c>
    </row>
    <row r="143" spans="2:21" x14ac:dyDescent="0.25">
      <c r="B143" s="29">
        <v>2034</v>
      </c>
      <c r="C143" s="30">
        <f t="shared" si="68"/>
        <v>123037111.62645008</v>
      </c>
      <c r="D143" s="30">
        <f t="shared" si="69"/>
        <v>119305846.59690796</v>
      </c>
      <c r="E143" s="31">
        <f t="shared" si="56"/>
        <v>3731265.0295421183</v>
      </c>
      <c r="G143" s="29">
        <v>2034</v>
      </c>
      <c r="H143" s="241">
        <f t="shared" si="67"/>
        <v>3.7312650295421181</v>
      </c>
      <c r="I143" s="242">
        <f t="shared" si="57"/>
        <v>1.2176280096176615E-2</v>
      </c>
      <c r="J143" s="242">
        <f t="shared" si="58"/>
        <v>8.3486545895154182E-2</v>
      </c>
      <c r="K143" s="242">
        <f t="shared" si="59"/>
        <v>0.37508898363571225</v>
      </c>
      <c r="L143" s="242">
        <f t="shared" si="60"/>
        <v>0.70717684655949831</v>
      </c>
      <c r="M143" s="243">
        <f t="shared" si="61"/>
        <v>3.1752708739558932</v>
      </c>
      <c r="O143" s="238">
        <v>2034</v>
      </c>
      <c r="P143" s="244">
        <f t="shared" si="62"/>
        <v>483002.86725918407</v>
      </c>
      <c r="Q143" s="245">
        <f t="shared" si="63"/>
        <v>178909.90685374022</v>
      </c>
      <c r="R143" s="245">
        <f t="shared" si="64"/>
        <v>317038.59474552161</v>
      </c>
      <c r="S143" s="245">
        <f t="shared" si="65"/>
        <v>361433.17239886889</v>
      </c>
      <c r="T143" s="246">
        <f t="shared" si="66"/>
        <v>91181.914843702834</v>
      </c>
      <c r="U143" s="239">
        <f t="shared" si="55"/>
        <v>1431566.4561010178</v>
      </c>
    </row>
    <row r="144" spans="2:21" x14ac:dyDescent="0.25">
      <c r="B144" s="29">
        <v>2035</v>
      </c>
      <c r="C144" s="30">
        <f t="shared" si="68"/>
        <v>124022012.78356738</v>
      </c>
      <c r="D144" s="30">
        <f t="shared" si="69"/>
        <v>120278828.64869732</v>
      </c>
      <c r="E144" s="31">
        <f t="shared" si="56"/>
        <v>3743184.1348700672</v>
      </c>
      <c r="G144" s="29">
        <v>2035</v>
      </c>
      <c r="H144" s="241">
        <f t="shared" si="67"/>
        <v>3.7431841348700674</v>
      </c>
      <c r="I144" s="242">
        <f t="shared" si="57"/>
        <v>1.2176280096176615E-2</v>
      </c>
      <c r="J144" s="242">
        <f t="shared" si="58"/>
        <v>8.3486545895154182E-2</v>
      </c>
      <c r="K144" s="242">
        <f t="shared" si="59"/>
        <v>0.37508898363571225</v>
      </c>
      <c r="L144" s="242">
        <f t="shared" si="60"/>
        <v>0.70717684655949831</v>
      </c>
      <c r="M144" s="243">
        <f t="shared" si="61"/>
        <v>3.1752708739558932</v>
      </c>
      <c r="O144" s="238">
        <v>2035</v>
      </c>
      <c r="P144" s="244">
        <f t="shared" si="62"/>
        <v>484545.76544598752</v>
      </c>
      <c r="Q144" s="245">
        <f t="shared" si="63"/>
        <v>179481.41437387609</v>
      </c>
      <c r="R144" s="245">
        <f t="shared" si="64"/>
        <v>318051.33878109092</v>
      </c>
      <c r="S144" s="245">
        <f t="shared" si="65"/>
        <v>362587.72990596876</v>
      </c>
      <c r="T144" s="246">
        <f t="shared" si="66"/>
        <v>91473.185187251598</v>
      </c>
      <c r="U144" s="239">
        <f t="shared" si="55"/>
        <v>1436139.4336941747</v>
      </c>
    </row>
    <row r="145" spans="2:26" x14ac:dyDescent="0.25">
      <c r="B145" s="29">
        <v>2036</v>
      </c>
      <c r="C145" s="30">
        <f t="shared" si="68"/>
        <v>125006913.94068469</v>
      </c>
      <c r="D145" s="30">
        <f t="shared" si="69"/>
        <v>121251810.70048667</v>
      </c>
      <c r="E145" s="31">
        <f t="shared" si="56"/>
        <v>3755103.2401980162</v>
      </c>
      <c r="G145" s="29">
        <v>2036</v>
      </c>
      <c r="H145" s="241">
        <f t="shared" si="67"/>
        <v>3.7551032401980162</v>
      </c>
      <c r="I145" s="242">
        <f t="shared" si="57"/>
        <v>1.2176280096176615E-2</v>
      </c>
      <c r="J145" s="242">
        <f t="shared" si="58"/>
        <v>8.3486545895154182E-2</v>
      </c>
      <c r="K145" s="242">
        <f t="shared" si="59"/>
        <v>0.37508898363571225</v>
      </c>
      <c r="L145" s="242">
        <f t="shared" si="60"/>
        <v>0.70717684655949831</v>
      </c>
      <c r="M145" s="243">
        <f t="shared" si="61"/>
        <v>3.1752708739558932</v>
      </c>
      <c r="O145" s="238">
        <v>2036</v>
      </c>
      <c r="P145" s="244">
        <f t="shared" si="62"/>
        <v>486088.66363279097</v>
      </c>
      <c r="Q145" s="245">
        <f t="shared" si="63"/>
        <v>180052.92189401196</v>
      </c>
      <c r="R145" s="245">
        <f t="shared" si="64"/>
        <v>319064.08281666011</v>
      </c>
      <c r="S145" s="245">
        <f t="shared" si="65"/>
        <v>363742.28741306852</v>
      </c>
      <c r="T145" s="246">
        <f t="shared" si="66"/>
        <v>91764.455530800333</v>
      </c>
      <c r="U145" s="239">
        <f t="shared" si="55"/>
        <v>1440712.411287332</v>
      </c>
    </row>
    <row r="146" spans="2:26" x14ac:dyDescent="0.25">
      <c r="B146" s="29">
        <v>2037</v>
      </c>
      <c r="C146" s="30">
        <f t="shared" si="68"/>
        <v>125991815.097802</v>
      </c>
      <c r="D146" s="30">
        <f t="shared" si="69"/>
        <v>122224792.75227603</v>
      </c>
      <c r="E146" s="31">
        <f t="shared" si="56"/>
        <v>3767022.3455259651</v>
      </c>
      <c r="G146" s="29">
        <v>2037</v>
      </c>
      <c r="H146" s="241">
        <f t="shared" si="67"/>
        <v>3.767022345525965</v>
      </c>
      <c r="I146" s="242">
        <f t="shared" si="57"/>
        <v>1.2176280096176615E-2</v>
      </c>
      <c r="J146" s="242">
        <f t="shared" si="58"/>
        <v>8.3486545895154182E-2</v>
      </c>
      <c r="K146" s="242">
        <f t="shared" si="59"/>
        <v>0.37508898363571225</v>
      </c>
      <c r="L146" s="242">
        <f t="shared" si="60"/>
        <v>0.70717684655949831</v>
      </c>
      <c r="M146" s="243">
        <f t="shared" si="61"/>
        <v>3.1752708739558932</v>
      </c>
      <c r="O146" s="238">
        <v>2037</v>
      </c>
      <c r="P146" s="244">
        <f t="shared" si="62"/>
        <v>487631.56181959441</v>
      </c>
      <c r="Q146" s="245">
        <f t="shared" si="63"/>
        <v>180624.4294141478</v>
      </c>
      <c r="R146" s="245">
        <f t="shared" si="64"/>
        <v>320076.82685222931</v>
      </c>
      <c r="S146" s="245">
        <f t="shared" si="65"/>
        <v>364896.84492016834</v>
      </c>
      <c r="T146" s="246">
        <f t="shared" si="66"/>
        <v>92055.725874349082</v>
      </c>
      <c r="U146" s="239">
        <f t="shared" si="55"/>
        <v>1445285.3888804889</v>
      </c>
    </row>
    <row r="147" spans="2:26" x14ac:dyDescent="0.25">
      <c r="B147" s="29">
        <v>2038</v>
      </c>
      <c r="C147" s="30">
        <f t="shared" si="68"/>
        <v>126976716.25491931</v>
      </c>
      <c r="D147" s="30">
        <f t="shared" si="69"/>
        <v>123197774.80406539</v>
      </c>
      <c r="E147" s="31">
        <f t="shared" si="56"/>
        <v>3778941.450853914</v>
      </c>
      <c r="G147" s="29">
        <v>2038</v>
      </c>
      <c r="H147" s="241">
        <f t="shared" si="67"/>
        <v>3.7789414508539139</v>
      </c>
      <c r="I147" s="242">
        <f t="shared" si="57"/>
        <v>1.2176280096176615E-2</v>
      </c>
      <c r="J147" s="242">
        <f t="shared" si="58"/>
        <v>8.3486545895154182E-2</v>
      </c>
      <c r="K147" s="242">
        <f t="shared" si="59"/>
        <v>0.37508898363571225</v>
      </c>
      <c r="L147" s="242">
        <f t="shared" si="60"/>
        <v>0.70717684655949831</v>
      </c>
      <c r="M147" s="243">
        <f t="shared" si="61"/>
        <v>3.1752708739558932</v>
      </c>
      <c r="O147" s="238">
        <v>2038</v>
      </c>
      <c r="P147" s="244">
        <f t="shared" si="62"/>
        <v>489174.46000639774</v>
      </c>
      <c r="Q147" s="245">
        <f t="shared" si="63"/>
        <v>181195.93693428364</v>
      </c>
      <c r="R147" s="245">
        <f t="shared" si="64"/>
        <v>321089.5708877985</v>
      </c>
      <c r="S147" s="245">
        <f t="shared" si="65"/>
        <v>366051.4024272681</v>
      </c>
      <c r="T147" s="246">
        <f t="shared" si="66"/>
        <v>92346.996217897831</v>
      </c>
      <c r="U147" s="239">
        <f t="shared" si="55"/>
        <v>1449858.3664736457</v>
      </c>
    </row>
    <row r="148" spans="2:26" x14ac:dyDescent="0.25">
      <c r="B148" s="29">
        <v>2039</v>
      </c>
      <c r="C148" s="30">
        <f t="shared" si="68"/>
        <v>127961617.41203661</v>
      </c>
      <c r="D148" s="30">
        <f t="shared" si="69"/>
        <v>124170756.85585475</v>
      </c>
      <c r="E148" s="31">
        <f t="shared" si="56"/>
        <v>3790860.556181863</v>
      </c>
      <c r="G148" s="29">
        <v>2039</v>
      </c>
      <c r="H148" s="241">
        <f t="shared" si="67"/>
        <v>3.7908605561818631</v>
      </c>
      <c r="I148" s="242">
        <f t="shared" si="57"/>
        <v>1.2176280096176615E-2</v>
      </c>
      <c r="J148" s="242">
        <f t="shared" si="58"/>
        <v>8.3486545895154182E-2</v>
      </c>
      <c r="K148" s="242">
        <f t="shared" si="59"/>
        <v>0.37508898363571225</v>
      </c>
      <c r="L148" s="242">
        <f t="shared" si="60"/>
        <v>0.70717684655949831</v>
      </c>
      <c r="M148" s="243">
        <f t="shared" si="61"/>
        <v>3.1752708739558932</v>
      </c>
      <c r="O148" s="238">
        <v>2039</v>
      </c>
      <c r="P148" s="244">
        <f t="shared" si="62"/>
        <v>490717.35819320125</v>
      </c>
      <c r="Q148" s="245">
        <f t="shared" si="63"/>
        <v>181767.44445441954</v>
      </c>
      <c r="R148" s="245">
        <f t="shared" si="64"/>
        <v>322102.31492336775</v>
      </c>
      <c r="S148" s="245">
        <f t="shared" si="65"/>
        <v>367205.95993436797</v>
      </c>
      <c r="T148" s="246">
        <f t="shared" si="66"/>
        <v>92638.266561446595</v>
      </c>
      <c r="U148" s="239">
        <f t="shared" si="55"/>
        <v>1454431.3440668033</v>
      </c>
    </row>
    <row r="149" spans="2:26" x14ac:dyDescent="0.25">
      <c r="B149" s="29">
        <v>2040</v>
      </c>
      <c r="C149" s="30">
        <f t="shared" si="68"/>
        <v>128946518.56915392</v>
      </c>
      <c r="D149" s="30">
        <f t="shared" si="69"/>
        <v>125143738.90764411</v>
      </c>
      <c r="E149" s="31">
        <f t="shared" si="56"/>
        <v>3802779.6615098119</v>
      </c>
      <c r="G149" s="29">
        <v>2040</v>
      </c>
      <c r="H149" s="241">
        <f t="shared" si="67"/>
        <v>3.8027796615098119</v>
      </c>
      <c r="I149" s="242">
        <f t="shared" si="57"/>
        <v>1.2176280096176615E-2</v>
      </c>
      <c r="J149" s="242">
        <f t="shared" si="58"/>
        <v>8.3486545895154182E-2</v>
      </c>
      <c r="K149" s="242">
        <f t="shared" si="59"/>
        <v>0.37508898363571225</v>
      </c>
      <c r="L149" s="242">
        <f t="shared" si="60"/>
        <v>0.70717684655949831</v>
      </c>
      <c r="M149" s="243">
        <f t="shared" si="61"/>
        <v>3.1752708739558932</v>
      </c>
      <c r="O149" s="238">
        <v>2040</v>
      </c>
      <c r="P149" s="244">
        <f t="shared" si="62"/>
        <v>492260.25638000463</v>
      </c>
      <c r="Q149" s="245">
        <f t="shared" si="63"/>
        <v>182338.95197455538</v>
      </c>
      <c r="R149" s="245">
        <f t="shared" si="64"/>
        <v>323115.05895893701</v>
      </c>
      <c r="S149" s="245">
        <f t="shared" si="65"/>
        <v>368360.51744146779</v>
      </c>
      <c r="T149" s="246">
        <f t="shared" si="66"/>
        <v>92929.53690499533</v>
      </c>
      <c r="U149" s="239">
        <f t="shared" si="55"/>
        <v>1459004.3216599601</v>
      </c>
    </row>
    <row r="150" spans="2:26" ht="17.25" thickBot="1" x14ac:dyDescent="0.3">
      <c r="B150" s="71">
        <v>2041</v>
      </c>
      <c r="C150" s="33">
        <f>SUM(Traffic!S8:S18,Traffic!S23,Traffic!S27:S32,Traffic!S41:S46)*365</f>
        <v>129931419.72627133</v>
      </c>
      <c r="D150" s="33">
        <f>SUM(Traffic!AF8:AF18,Traffic!AF23,Traffic!AF27:AF32,Traffic!AF41:AF46)*365</f>
        <v>126116720.95943348</v>
      </c>
      <c r="E150" s="34">
        <f t="shared" si="56"/>
        <v>3814698.7668378502</v>
      </c>
      <c r="G150" s="71">
        <v>2041</v>
      </c>
      <c r="H150" s="259">
        <f t="shared" si="67"/>
        <v>3.81469876683785</v>
      </c>
      <c r="I150" s="247">
        <f t="shared" si="57"/>
        <v>1.2176280096176615E-2</v>
      </c>
      <c r="J150" s="247">
        <f t="shared" si="58"/>
        <v>8.3486545895154182E-2</v>
      </c>
      <c r="K150" s="247">
        <f t="shared" si="59"/>
        <v>0.37508898363571225</v>
      </c>
      <c r="L150" s="247">
        <f t="shared" si="60"/>
        <v>0.70717684655949831</v>
      </c>
      <c r="M150" s="248">
        <f t="shared" si="61"/>
        <v>3.1752708739558932</v>
      </c>
      <c r="O150" s="249">
        <v>2041</v>
      </c>
      <c r="P150" s="250">
        <f t="shared" si="62"/>
        <v>493803.1545668196</v>
      </c>
      <c r="Q150" s="251">
        <f t="shared" si="63"/>
        <v>182910.4594946955</v>
      </c>
      <c r="R150" s="251">
        <f t="shared" si="64"/>
        <v>324127.80299451377</v>
      </c>
      <c r="S150" s="251">
        <f t="shared" si="65"/>
        <v>369515.07494857622</v>
      </c>
      <c r="T150" s="252">
        <f t="shared" si="66"/>
        <v>93220.807248546262</v>
      </c>
      <c r="U150" s="253">
        <f t="shared" si="55"/>
        <v>1463577.2992531513</v>
      </c>
    </row>
    <row r="151" spans="2:26" ht="16.5" customHeight="1" x14ac:dyDescent="0.25">
      <c r="G151" s="41"/>
      <c r="H151" s="41"/>
      <c r="I151" s="41"/>
      <c r="J151" s="41"/>
      <c r="K151" s="41"/>
      <c r="L151" s="41"/>
      <c r="M151" s="41"/>
      <c r="P151" s="223"/>
      <c r="S151" s="51"/>
      <c r="T151" s="223"/>
      <c r="V151" s="311"/>
      <c r="W151" s="311"/>
      <c r="X151" s="311"/>
      <c r="Y151" s="311"/>
      <c r="Z151" s="311"/>
    </row>
    <row r="152" spans="2:26" ht="16.5" customHeight="1" x14ac:dyDescent="0.25">
      <c r="G152" s="41"/>
      <c r="H152" s="41"/>
      <c r="I152" s="41"/>
      <c r="J152" s="41"/>
      <c r="K152" s="41"/>
      <c r="L152" s="41"/>
      <c r="M152" s="41"/>
      <c r="P152" s="223"/>
      <c r="S152" s="51"/>
      <c r="T152" s="223"/>
      <c r="V152" s="311"/>
      <c r="W152" s="311"/>
      <c r="X152" s="311"/>
      <c r="Y152" s="311"/>
      <c r="Z152" s="311"/>
    </row>
    <row r="153" spans="2:26" s="314" customFormat="1" ht="34.5" customHeight="1" thickBot="1" x14ac:dyDescent="0.3">
      <c r="B153" s="186" t="s">
        <v>254</v>
      </c>
      <c r="C153" s="186"/>
      <c r="D153" s="186"/>
      <c r="E153" s="186"/>
      <c r="G153" s="185" t="s">
        <v>255</v>
      </c>
      <c r="H153" s="185"/>
      <c r="I153" s="185"/>
      <c r="J153" s="185"/>
      <c r="K153" s="185"/>
      <c r="L153" s="185"/>
      <c r="M153" s="185"/>
      <c r="O153" s="344" t="s">
        <v>256</v>
      </c>
      <c r="P153" s="344"/>
      <c r="Q153" s="344"/>
      <c r="R153" s="344"/>
      <c r="S153" s="344"/>
      <c r="T153" s="344"/>
      <c r="U153" s="344"/>
    </row>
    <row r="154" spans="2:26" ht="16.5" customHeight="1" x14ac:dyDescent="0.25">
      <c r="B154" s="148" t="s">
        <v>19</v>
      </c>
      <c r="C154" s="150" t="s">
        <v>225</v>
      </c>
      <c r="D154" s="150" t="s">
        <v>224</v>
      </c>
      <c r="E154" s="152" t="s">
        <v>47</v>
      </c>
      <c r="G154" s="155" t="s">
        <v>19</v>
      </c>
      <c r="H154" s="157" t="s">
        <v>79</v>
      </c>
      <c r="I154" s="226" t="s">
        <v>81</v>
      </c>
      <c r="J154" s="226"/>
      <c r="K154" s="226"/>
      <c r="L154" s="226"/>
      <c r="M154" s="227"/>
      <c r="O154" s="168" t="s">
        <v>19</v>
      </c>
      <c r="P154" s="228" t="s">
        <v>78</v>
      </c>
      <c r="Q154" s="229"/>
      <c r="R154" s="229"/>
      <c r="S154" s="229"/>
      <c r="T154" s="230"/>
      <c r="U154" s="179" t="s">
        <v>80</v>
      </c>
    </row>
    <row r="155" spans="2:26" ht="15" customHeight="1" thickBot="1" x14ac:dyDescent="0.3">
      <c r="B155" s="149"/>
      <c r="C155" s="151"/>
      <c r="D155" s="151"/>
      <c r="E155" s="153"/>
      <c r="G155" s="156"/>
      <c r="H155" s="158"/>
      <c r="I155" s="231" t="s">
        <v>21</v>
      </c>
      <c r="J155" s="231" t="s">
        <v>22</v>
      </c>
      <c r="K155" s="231" t="s">
        <v>23</v>
      </c>
      <c r="L155" s="231" t="s">
        <v>24</v>
      </c>
      <c r="M155" s="232" t="s">
        <v>25</v>
      </c>
      <c r="O155" s="169"/>
      <c r="P155" s="233" t="s">
        <v>21</v>
      </c>
      <c r="Q155" s="233" t="s">
        <v>22</v>
      </c>
      <c r="R155" s="233" t="s">
        <v>23</v>
      </c>
      <c r="S155" s="233" t="s">
        <v>24</v>
      </c>
      <c r="T155" s="234" t="s">
        <v>25</v>
      </c>
      <c r="U155" s="180"/>
    </row>
    <row r="156" spans="2:26" ht="14.45" customHeight="1" x14ac:dyDescent="0.25">
      <c r="B156" s="111">
        <v>2017</v>
      </c>
      <c r="C156" s="132" t="s">
        <v>60</v>
      </c>
      <c r="D156" s="133"/>
      <c r="E156" s="134"/>
      <c r="G156" s="70">
        <v>2017</v>
      </c>
      <c r="H156" s="159" t="s">
        <v>60</v>
      </c>
      <c r="I156" s="160"/>
      <c r="J156" s="160"/>
      <c r="K156" s="160"/>
      <c r="L156" s="160"/>
      <c r="M156" s="161"/>
      <c r="O156" s="235">
        <v>2017</v>
      </c>
      <c r="P156" s="170" t="s">
        <v>60</v>
      </c>
      <c r="Q156" s="171"/>
      <c r="R156" s="171"/>
      <c r="S156" s="171"/>
      <c r="T156" s="172"/>
      <c r="U156" s="236">
        <f>SUM(P156:T156)</f>
        <v>0</v>
      </c>
    </row>
    <row r="157" spans="2:26" ht="14.45" customHeight="1" x14ac:dyDescent="0.25">
      <c r="B157" s="29">
        <v>2018</v>
      </c>
      <c r="C157" s="132"/>
      <c r="D157" s="133"/>
      <c r="E157" s="134"/>
      <c r="G157" s="29">
        <v>2018</v>
      </c>
      <c r="H157" s="162"/>
      <c r="I157" s="163"/>
      <c r="J157" s="163"/>
      <c r="K157" s="163"/>
      <c r="L157" s="163"/>
      <c r="M157" s="164"/>
      <c r="O157" s="238">
        <v>2018</v>
      </c>
      <c r="P157" s="173"/>
      <c r="Q157" s="174"/>
      <c r="R157" s="174"/>
      <c r="S157" s="174"/>
      <c r="T157" s="175"/>
      <c r="U157" s="239">
        <f t="shared" ref="U157:U180" si="70">SUM(P157:T157)</f>
        <v>0</v>
      </c>
    </row>
    <row r="158" spans="2:26" ht="14.45" customHeight="1" x14ac:dyDescent="0.25">
      <c r="B158" s="29">
        <v>2019</v>
      </c>
      <c r="C158" s="132"/>
      <c r="D158" s="133"/>
      <c r="E158" s="134"/>
      <c r="G158" s="29">
        <v>2019</v>
      </c>
      <c r="H158" s="162"/>
      <c r="I158" s="163"/>
      <c r="J158" s="163"/>
      <c r="K158" s="163"/>
      <c r="L158" s="163"/>
      <c r="M158" s="164"/>
      <c r="O158" s="238">
        <v>2019</v>
      </c>
      <c r="P158" s="173"/>
      <c r="Q158" s="174"/>
      <c r="R158" s="174"/>
      <c r="S158" s="174"/>
      <c r="T158" s="175"/>
      <c r="U158" s="239">
        <f t="shared" si="70"/>
        <v>0</v>
      </c>
    </row>
    <row r="159" spans="2:26" ht="14.45" customHeight="1" x14ac:dyDescent="0.25">
      <c r="B159" s="29">
        <v>2020</v>
      </c>
      <c r="C159" s="132"/>
      <c r="D159" s="133"/>
      <c r="E159" s="134"/>
      <c r="G159" s="29">
        <v>2020</v>
      </c>
      <c r="H159" s="162"/>
      <c r="I159" s="163"/>
      <c r="J159" s="163"/>
      <c r="K159" s="163"/>
      <c r="L159" s="163"/>
      <c r="M159" s="164"/>
      <c r="O159" s="238">
        <v>2020</v>
      </c>
      <c r="P159" s="173"/>
      <c r="Q159" s="174"/>
      <c r="R159" s="174"/>
      <c r="S159" s="174"/>
      <c r="T159" s="175"/>
      <c r="U159" s="239">
        <f t="shared" si="70"/>
        <v>0</v>
      </c>
    </row>
    <row r="160" spans="2:26" ht="14.45" customHeight="1" x14ac:dyDescent="0.25">
      <c r="B160" s="29">
        <v>2021</v>
      </c>
      <c r="C160" s="135"/>
      <c r="D160" s="136"/>
      <c r="E160" s="137"/>
      <c r="G160" s="29">
        <v>2021</v>
      </c>
      <c r="H160" s="165"/>
      <c r="I160" s="166"/>
      <c r="J160" s="166"/>
      <c r="K160" s="166"/>
      <c r="L160" s="166"/>
      <c r="M160" s="167"/>
      <c r="O160" s="238">
        <v>2021</v>
      </c>
      <c r="P160" s="176"/>
      <c r="Q160" s="177"/>
      <c r="R160" s="177"/>
      <c r="S160" s="177"/>
      <c r="T160" s="178"/>
      <c r="U160" s="239">
        <f t="shared" si="70"/>
        <v>0</v>
      </c>
    </row>
    <row r="161" spans="2:21" x14ac:dyDescent="0.25">
      <c r="B161" s="29">
        <v>2022</v>
      </c>
      <c r="C161" s="30">
        <f>SUM(Traffic!R7,Traffic!R33:R40)*365</f>
        <v>23228566.306700855</v>
      </c>
      <c r="D161" s="30">
        <f>SUM(Traffic!AE7,Traffic!AE33:AE40)*365</f>
        <v>21302206.008671738</v>
      </c>
      <c r="E161" s="31">
        <f t="shared" ref="E161:E180" si="71">C161-D161</f>
        <v>1926360.2980291173</v>
      </c>
      <c r="G161" s="29">
        <v>2022</v>
      </c>
      <c r="H161" s="241">
        <f>E161/1000000</f>
        <v>1.9263602980291172</v>
      </c>
      <c r="I161" s="242">
        <f t="shared" ref="I161:I180" si="72">$T$215</f>
        <v>8.4458685675227029E-3</v>
      </c>
      <c r="J161" s="242">
        <f t="shared" ref="J161:J180" si="73">$T$216</f>
        <v>5.6598769011509689E-2</v>
      </c>
      <c r="K161" s="242">
        <f t="shared" ref="K161:K180" si="74">$T$217</f>
        <v>0.37216751233245066</v>
      </c>
      <c r="L161" s="242">
        <f t="shared" ref="L161:L180" si="75">$T$218</f>
        <v>0.70166882858592572</v>
      </c>
      <c r="M161" s="243">
        <f t="shared" ref="M161:M180" si="76">$T$219</f>
        <v>3.1505395084851502</v>
      </c>
      <c r="O161" s="238">
        <v>2022</v>
      </c>
      <c r="P161" s="244">
        <f t="shared" ref="P161:P180" si="77">$H161*$I161*$Z$215</f>
        <v>172966.03061696811</v>
      </c>
      <c r="Q161" s="245">
        <f t="shared" ref="Q161:Q180" si="78">$H161*$J161*$Z$216</f>
        <v>62619.025270927857</v>
      </c>
      <c r="R161" s="245">
        <f t="shared" ref="R161:R180" si="79">$H161*$K161*$Z$217</f>
        <v>162404.36803960535</v>
      </c>
      <c r="S161" s="245">
        <f t="shared" ref="S161:S180" si="80">$H161*$L161*$Z$218</f>
        <v>185145.67918490682</v>
      </c>
      <c r="T161" s="246">
        <f t="shared" ref="T161:T180" si="81">$H161*$M161*$Z$219</f>
        <v>46708.323536189426</v>
      </c>
      <c r="U161" s="239">
        <f t="shared" si="70"/>
        <v>629843.42664859758</v>
      </c>
    </row>
    <row r="162" spans="2:21" x14ac:dyDescent="0.25">
      <c r="B162" s="29">
        <v>2023</v>
      </c>
      <c r="C162" s="30">
        <f>($C$180-$C$161)/19+C161</f>
        <v>23524026.015801661</v>
      </c>
      <c r="D162" s="30">
        <f>($D$180-$D$161)/19+D161</f>
        <v>21596652.965306114</v>
      </c>
      <c r="E162" s="31">
        <f t="shared" si="71"/>
        <v>1927373.0504955463</v>
      </c>
      <c r="G162" s="29">
        <v>2023</v>
      </c>
      <c r="H162" s="241">
        <f t="shared" ref="H162:H180" si="82">E162/1000000</f>
        <v>1.9273730504955464</v>
      </c>
      <c r="I162" s="242">
        <f t="shared" si="72"/>
        <v>8.4458685675227029E-3</v>
      </c>
      <c r="J162" s="242">
        <f t="shared" si="73"/>
        <v>5.6598769011509689E-2</v>
      </c>
      <c r="K162" s="242">
        <f t="shared" si="74"/>
        <v>0.37216751233245066</v>
      </c>
      <c r="L162" s="242">
        <f t="shared" si="75"/>
        <v>0.70166882858592572</v>
      </c>
      <c r="M162" s="243">
        <f t="shared" si="76"/>
        <v>3.1505395084851502</v>
      </c>
      <c r="O162" s="238">
        <v>2023</v>
      </c>
      <c r="P162" s="244">
        <f t="shared" si="77"/>
        <v>173056.96468277866</v>
      </c>
      <c r="Q162" s="245">
        <f t="shared" si="78"/>
        <v>62651.946200804487</v>
      </c>
      <c r="R162" s="245">
        <f t="shared" si="79"/>
        <v>162489.74948380311</v>
      </c>
      <c r="S162" s="245">
        <f t="shared" si="80"/>
        <v>185243.01650204061</v>
      </c>
      <c r="T162" s="246">
        <f t="shared" si="81"/>
        <v>46732.879674473857</v>
      </c>
      <c r="U162" s="239">
        <f t="shared" si="70"/>
        <v>630174.55654390075</v>
      </c>
    </row>
    <row r="163" spans="2:21" x14ac:dyDescent="0.25">
      <c r="B163" s="29">
        <v>2024</v>
      </c>
      <c r="C163" s="30">
        <f t="shared" ref="C163:C179" si="83">($C$180-$C$161)/19+C162</f>
        <v>23819485.724902466</v>
      </c>
      <c r="D163" s="30">
        <f t="shared" ref="D163:D179" si="84">($D$180-$D$161)/19+D162</f>
        <v>21891099.921940491</v>
      </c>
      <c r="E163" s="31">
        <f t="shared" si="71"/>
        <v>1928385.8029619753</v>
      </c>
      <c r="G163" s="29">
        <v>2024</v>
      </c>
      <c r="H163" s="241">
        <f t="shared" si="82"/>
        <v>1.9283858029619754</v>
      </c>
      <c r="I163" s="242">
        <f t="shared" si="72"/>
        <v>8.4458685675227029E-3</v>
      </c>
      <c r="J163" s="242">
        <f t="shared" si="73"/>
        <v>5.6598769011509689E-2</v>
      </c>
      <c r="K163" s="242">
        <f t="shared" si="74"/>
        <v>0.37216751233245066</v>
      </c>
      <c r="L163" s="242">
        <f t="shared" si="75"/>
        <v>0.70166882858592572</v>
      </c>
      <c r="M163" s="243">
        <f t="shared" si="76"/>
        <v>3.1505395084851502</v>
      </c>
      <c r="O163" s="238">
        <v>2024</v>
      </c>
      <c r="P163" s="244">
        <f t="shared" si="77"/>
        <v>173147.89874858918</v>
      </c>
      <c r="Q163" s="245">
        <f t="shared" si="78"/>
        <v>62684.867130681094</v>
      </c>
      <c r="R163" s="245">
        <f t="shared" si="79"/>
        <v>162575.13092800087</v>
      </c>
      <c r="S163" s="245">
        <f t="shared" si="80"/>
        <v>185340.3538191744</v>
      </c>
      <c r="T163" s="246">
        <f t="shared" si="81"/>
        <v>46757.435812758289</v>
      </c>
      <c r="U163" s="239">
        <f t="shared" si="70"/>
        <v>630505.6864392038</v>
      </c>
    </row>
    <row r="164" spans="2:21" x14ac:dyDescent="0.25">
      <c r="B164" s="29">
        <v>2025</v>
      </c>
      <c r="C164" s="30">
        <f t="shared" si="83"/>
        <v>24114945.434003271</v>
      </c>
      <c r="D164" s="30">
        <f t="shared" si="84"/>
        <v>22185546.878574867</v>
      </c>
      <c r="E164" s="31">
        <f t="shared" si="71"/>
        <v>1929398.5554284044</v>
      </c>
      <c r="G164" s="29">
        <v>2025</v>
      </c>
      <c r="H164" s="241">
        <f t="shared" si="82"/>
        <v>1.9293985554284043</v>
      </c>
      <c r="I164" s="242">
        <f t="shared" si="72"/>
        <v>8.4458685675227029E-3</v>
      </c>
      <c r="J164" s="242">
        <f t="shared" si="73"/>
        <v>5.6598769011509689E-2</v>
      </c>
      <c r="K164" s="242">
        <f t="shared" si="74"/>
        <v>0.37216751233245066</v>
      </c>
      <c r="L164" s="242">
        <f t="shared" si="75"/>
        <v>0.70166882858592572</v>
      </c>
      <c r="M164" s="243">
        <f t="shared" si="76"/>
        <v>3.1505395084851502</v>
      </c>
      <c r="O164" s="238">
        <v>2025</v>
      </c>
      <c r="P164" s="244">
        <f t="shared" si="77"/>
        <v>173238.83281439971</v>
      </c>
      <c r="Q164" s="245">
        <f t="shared" si="78"/>
        <v>62717.788060557716</v>
      </c>
      <c r="R164" s="245">
        <f t="shared" si="79"/>
        <v>162660.51237219863</v>
      </c>
      <c r="S164" s="245">
        <f t="shared" si="80"/>
        <v>185437.69113630819</v>
      </c>
      <c r="T164" s="246">
        <f t="shared" si="81"/>
        <v>46781.991951042713</v>
      </c>
      <c r="U164" s="239">
        <f t="shared" si="70"/>
        <v>630836.81633450685</v>
      </c>
    </row>
    <row r="165" spans="2:21" x14ac:dyDescent="0.25">
      <c r="B165" s="29">
        <v>2026</v>
      </c>
      <c r="C165" s="30">
        <f t="shared" si="83"/>
        <v>24410405.143104076</v>
      </c>
      <c r="D165" s="30">
        <f t="shared" si="84"/>
        <v>22479993.835209243</v>
      </c>
      <c r="E165" s="31">
        <f t="shared" si="71"/>
        <v>1930411.3078948334</v>
      </c>
      <c r="G165" s="29">
        <v>2026</v>
      </c>
      <c r="H165" s="241">
        <f t="shared" si="82"/>
        <v>1.9304113078948333</v>
      </c>
      <c r="I165" s="242">
        <f t="shared" si="72"/>
        <v>8.4458685675227029E-3</v>
      </c>
      <c r="J165" s="242">
        <f t="shared" si="73"/>
        <v>5.6598769011509689E-2</v>
      </c>
      <c r="K165" s="242">
        <f t="shared" si="74"/>
        <v>0.37216751233245066</v>
      </c>
      <c r="L165" s="242">
        <f t="shared" si="75"/>
        <v>0.70166882858592572</v>
      </c>
      <c r="M165" s="243">
        <f t="shared" si="76"/>
        <v>3.1505395084851502</v>
      </c>
      <c r="O165" s="238">
        <v>2026</v>
      </c>
      <c r="P165" s="244">
        <f t="shared" si="77"/>
        <v>173329.76688021023</v>
      </c>
      <c r="Q165" s="245">
        <f t="shared" si="78"/>
        <v>62750.708990434323</v>
      </c>
      <c r="R165" s="245">
        <f t="shared" si="79"/>
        <v>162745.89381639639</v>
      </c>
      <c r="S165" s="245">
        <f t="shared" si="80"/>
        <v>185535.02845344195</v>
      </c>
      <c r="T165" s="246">
        <f t="shared" si="81"/>
        <v>46806.548089327152</v>
      </c>
      <c r="U165" s="239">
        <f t="shared" si="70"/>
        <v>631167.94622981001</v>
      </c>
    </row>
    <row r="166" spans="2:21" x14ac:dyDescent="0.25">
      <c r="B166" s="29">
        <v>2027</v>
      </c>
      <c r="C166" s="30">
        <f t="shared" si="83"/>
        <v>24705864.852204882</v>
      </c>
      <c r="D166" s="30">
        <f t="shared" si="84"/>
        <v>22774440.791843619</v>
      </c>
      <c r="E166" s="31">
        <f t="shared" si="71"/>
        <v>1931424.0603612624</v>
      </c>
      <c r="G166" s="29">
        <v>2027</v>
      </c>
      <c r="H166" s="241">
        <f t="shared" si="82"/>
        <v>1.9314240603612625</v>
      </c>
      <c r="I166" s="242">
        <f t="shared" si="72"/>
        <v>8.4458685675227029E-3</v>
      </c>
      <c r="J166" s="242">
        <f t="shared" si="73"/>
        <v>5.6598769011509689E-2</v>
      </c>
      <c r="K166" s="242">
        <f t="shared" si="74"/>
        <v>0.37216751233245066</v>
      </c>
      <c r="L166" s="242">
        <f t="shared" si="75"/>
        <v>0.70166882858592572</v>
      </c>
      <c r="M166" s="243">
        <f t="shared" si="76"/>
        <v>3.1505395084851502</v>
      </c>
      <c r="O166" s="238">
        <v>2027</v>
      </c>
      <c r="P166" s="244">
        <f t="shared" si="77"/>
        <v>173420.70094602078</v>
      </c>
      <c r="Q166" s="245">
        <f t="shared" si="78"/>
        <v>62783.629920310945</v>
      </c>
      <c r="R166" s="245">
        <f t="shared" si="79"/>
        <v>162831.27526059415</v>
      </c>
      <c r="S166" s="245">
        <f t="shared" si="80"/>
        <v>185632.36577057577</v>
      </c>
      <c r="T166" s="246">
        <f t="shared" si="81"/>
        <v>46831.104227611584</v>
      </c>
      <c r="U166" s="239">
        <f t="shared" si="70"/>
        <v>631499.07612511329</v>
      </c>
    </row>
    <row r="167" spans="2:21" x14ac:dyDescent="0.25">
      <c r="B167" s="29">
        <v>2028</v>
      </c>
      <c r="C167" s="30">
        <f t="shared" si="83"/>
        <v>25001324.561305687</v>
      </c>
      <c r="D167" s="30">
        <f t="shared" si="84"/>
        <v>23068887.748477995</v>
      </c>
      <c r="E167" s="31">
        <f t="shared" si="71"/>
        <v>1932436.8128276914</v>
      </c>
      <c r="G167" s="29">
        <v>2028</v>
      </c>
      <c r="H167" s="241">
        <f t="shared" si="82"/>
        <v>1.9324368128276914</v>
      </c>
      <c r="I167" s="242">
        <f t="shared" si="72"/>
        <v>8.4458685675227029E-3</v>
      </c>
      <c r="J167" s="242">
        <f t="shared" si="73"/>
        <v>5.6598769011509689E-2</v>
      </c>
      <c r="K167" s="242">
        <f t="shared" si="74"/>
        <v>0.37216751233245066</v>
      </c>
      <c r="L167" s="242">
        <f t="shared" si="75"/>
        <v>0.70166882858592572</v>
      </c>
      <c r="M167" s="243">
        <f t="shared" si="76"/>
        <v>3.1505395084851502</v>
      </c>
      <c r="O167" s="238">
        <v>2028</v>
      </c>
      <c r="P167" s="244">
        <f t="shared" si="77"/>
        <v>173511.6350118313</v>
      </c>
      <c r="Q167" s="245">
        <f t="shared" si="78"/>
        <v>62816.550850187559</v>
      </c>
      <c r="R167" s="245">
        <f t="shared" si="79"/>
        <v>162916.65670479191</v>
      </c>
      <c r="S167" s="245">
        <f t="shared" si="80"/>
        <v>185729.70308770952</v>
      </c>
      <c r="T167" s="246">
        <f t="shared" si="81"/>
        <v>46855.660365896016</v>
      </c>
      <c r="U167" s="239">
        <f t="shared" si="70"/>
        <v>631830.20602041634</v>
      </c>
    </row>
    <row r="168" spans="2:21" x14ac:dyDescent="0.25">
      <c r="B168" s="29">
        <v>2029</v>
      </c>
      <c r="C168" s="30">
        <f t="shared" si="83"/>
        <v>25296784.270406492</v>
      </c>
      <c r="D168" s="30">
        <f t="shared" si="84"/>
        <v>23363334.705112372</v>
      </c>
      <c r="E168" s="31">
        <f t="shared" si="71"/>
        <v>1933449.5652941205</v>
      </c>
      <c r="G168" s="29">
        <v>2029</v>
      </c>
      <c r="H168" s="241">
        <f t="shared" si="82"/>
        <v>1.9334495652941204</v>
      </c>
      <c r="I168" s="242">
        <f t="shared" si="72"/>
        <v>8.4458685675227029E-3</v>
      </c>
      <c r="J168" s="242">
        <f t="shared" si="73"/>
        <v>5.6598769011509689E-2</v>
      </c>
      <c r="K168" s="242">
        <f t="shared" si="74"/>
        <v>0.37216751233245066</v>
      </c>
      <c r="L168" s="242">
        <f t="shared" si="75"/>
        <v>0.70166882858592572</v>
      </c>
      <c r="M168" s="243">
        <f t="shared" si="76"/>
        <v>3.1505395084851502</v>
      </c>
      <c r="O168" s="238">
        <v>2029</v>
      </c>
      <c r="P168" s="244">
        <f t="shared" si="77"/>
        <v>173602.56907764182</v>
      </c>
      <c r="Q168" s="245">
        <f t="shared" si="78"/>
        <v>62849.471780064174</v>
      </c>
      <c r="R168" s="245">
        <f t="shared" si="79"/>
        <v>163002.03814898967</v>
      </c>
      <c r="S168" s="245">
        <f t="shared" si="80"/>
        <v>185827.04040484328</v>
      </c>
      <c r="T168" s="246">
        <f t="shared" si="81"/>
        <v>46880.21650418044</v>
      </c>
      <c r="U168" s="239">
        <f t="shared" si="70"/>
        <v>632161.33591571939</v>
      </c>
    </row>
    <row r="169" spans="2:21" x14ac:dyDescent="0.25">
      <c r="B169" s="29">
        <v>2030</v>
      </c>
      <c r="C169" s="30">
        <f t="shared" si="83"/>
        <v>25592243.979507297</v>
      </c>
      <c r="D169" s="30">
        <f t="shared" si="84"/>
        <v>23657781.661746748</v>
      </c>
      <c r="E169" s="31">
        <f t="shared" si="71"/>
        <v>1934462.3177605495</v>
      </c>
      <c r="G169" s="29">
        <v>2030</v>
      </c>
      <c r="H169" s="241">
        <f t="shared" si="82"/>
        <v>1.9344623177605496</v>
      </c>
      <c r="I169" s="242">
        <f t="shared" si="72"/>
        <v>8.4458685675227029E-3</v>
      </c>
      <c r="J169" s="242">
        <f t="shared" si="73"/>
        <v>5.6598769011509689E-2</v>
      </c>
      <c r="K169" s="242">
        <f t="shared" si="74"/>
        <v>0.37216751233245066</v>
      </c>
      <c r="L169" s="242">
        <f t="shared" si="75"/>
        <v>0.70166882858592572</v>
      </c>
      <c r="M169" s="243">
        <f t="shared" si="76"/>
        <v>3.1505395084851502</v>
      </c>
      <c r="O169" s="238">
        <v>2030</v>
      </c>
      <c r="P169" s="244">
        <f t="shared" si="77"/>
        <v>173693.50314345237</v>
      </c>
      <c r="Q169" s="245">
        <f t="shared" si="78"/>
        <v>62882.392709940796</v>
      </c>
      <c r="R169" s="245">
        <f t="shared" si="79"/>
        <v>163087.41959318743</v>
      </c>
      <c r="S169" s="245">
        <f t="shared" si="80"/>
        <v>185924.3777219771</v>
      </c>
      <c r="T169" s="246">
        <f t="shared" si="81"/>
        <v>46904.772642464872</v>
      </c>
      <c r="U169" s="239">
        <f t="shared" si="70"/>
        <v>632492.46581102256</v>
      </c>
    </row>
    <row r="170" spans="2:21" x14ac:dyDescent="0.25">
      <c r="B170" s="29">
        <v>2031</v>
      </c>
      <c r="C170" s="30">
        <f t="shared" si="83"/>
        <v>25887703.688608103</v>
      </c>
      <c r="D170" s="30">
        <f t="shared" si="84"/>
        <v>23952228.618381124</v>
      </c>
      <c r="E170" s="31">
        <f t="shared" si="71"/>
        <v>1935475.0702269785</v>
      </c>
      <c r="G170" s="29">
        <v>2031</v>
      </c>
      <c r="H170" s="241">
        <f t="shared" si="82"/>
        <v>1.9354750702269785</v>
      </c>
      <c r="I170" s="242">
        <f t="shared" si="72"/>
        <v>8.4458685675227029E-3</v>
      </c>
      <c r="J170" s="242">
        <f t="shared" si="73"/>
        <v>5.6598769011509689E-2</v>
      </c>
      <c r="K170" s="242">
        <f t="shared" si="74"/>
        <v>0.37216751233245066</v>
      </c>
      <c r="L170" s="242">
        <f t="shared" si="75"/>
        <v>0.70166882858592572</v>
      </c>
      <c r="M170" s="243">
        <f t="shared" si="76"/>
        <v>3.1505395084851502</v>
      </c>
      <c r="O170" s="238">
        <v>2031</v>
      </c>
      <c r="P170" s="244">
        <f t="shared" si="77"/>
        <v>173784.43720926289</v>
      </c>
      <c r="Q170" s="245">
        <f t="shared" si="78"/>
        <v>62915.31363981741</v>
      </c>
      <c r="R170" s="245">
        <f t="shared" si="79"/>
        <v>163172.80103738519</v>
      </c>
      <c r="S170" s="245">
        <f t="shared" si="80"/>
        <v>186021.71503911089</v>
      </c>
      <c r="T170" s="246">
        <f t="shared" si="81"/>
        <v>46929.328780749311</v>
      </c>
      <c r="U170" s="239">
        <f t="shared" si="70"/>
        <v>632823.59570632572</v>
      </c>
    </row>
    <row r="171" spans="2:21" x14ac:dyDescent="0.25">
      <c r="B171" s="29">
        <v>2032</v>
      </c>
      <c r="C171" s="30">
        <f t="shared" si="83"/>
        <v>26183163.397708908</v>
      </c>
      <c r="D171" s="30">
        <f t="shared" si="84"/>
        <v>24246675.5750155</v>
      </c>
      <c r="E171" s="31">
        <f t="shared" si="71"/>
        <v>1936487.8226934075</v>
      </c>
      <c r="G171" s="29">
        <v>2032</v>
      </c>
      <c r="H171" s="241">
        <f t="shared" si="82"/>
        <v>1.9364878226934075</v>
      </c>
      <c r="I171" s="242">
        <f t="shared" si="72"/>
        <v>8.4458685675227029E-3</v>
      </c>
      <c r="J171" s="242">
        <f t="shared" si="73"/>
        <v>5.6598769011509689E-2</v>
      </c>
      <c r="K171" s="242">
        <f t="shared" si="74"/>
        <v>0.37216751233245066</v>
      </c>
      <c r="L171" s="242">
        <f t="shared" si="75"/>
        <v>0.70166882858592572</v>
      </c>
      <c r="M171" s="243">
        <f t="shared" si="76"/>
        <v>3.1505395084851502</v>
      </c>
      <c r="O171" s="238">
        <v>2032</v>
      </c>
      <c r="P171" s="244">
        <f t="shared" si="77"/>
        <v>173875.37127507341</v>
      </c>
      <c r="Q171" s="245">
        <f t="shared" si="78"/>
        <v>62948.234569694017</v>
      </c>
      <c r="R171" s="245">
        <f t="shared" si="79"/>
        <v>163258.18248158295</v>
      </c>
      <c r="S171" s="245">
        <f t="shared" si="80"/>
        <v>186119.05235624465</v>
      </c>
      <c r="T171" s="246">
        <f t="shared" si="81"/>
        <v>46953.884919033735</v>
      </c>
      <c r="U171" s="239">
        <f t="shared" si="70"/>
        <v>633154.72560162877</v>
      </c>
    </row>
    <row r="172" spans="2:21" x14ac:dyDescent="0.25">
      <c r="B172" s="29">
        <v>2033</v>
      </c>
      <c r="C172" s="30">
        <f t="shared" si="83"/>
        <v>26478623.106809713</v>
      </c>
      <c r="D172" s="30">
        <f t="shared" si="84"/>
        <v>24541122.531649876</v>
      </c>
      <c r="E172" s="31">
        <f t="shared" si="71"/>
        <v>1937500.5751598366</v>
      </c>
      <c r="G172" s="29">
        <v>2033</v>
      </c>
      <c r="H172" s="241">
        <f t="shared" si="82"/>
        <v>1.9375005751598366</v>
      </c>
      <c r="I172" s="242">
        <f t="shared" si="72"/>
        <v>8.4458685675227029E-3</v>
      </c>
      <c r="J172" s="242">
        <f t="shared" si="73"/>
        <v>5.6598769011509689E-2</v>
      </c>
      <c r="K172" s="242">
        <f t="shared" si="74"/>
        <v>0.37216751233245066</v>
      </c>
      <c r="L172" s="242">
        <f t="shared" si="75"/>
        <v>0.70166882858592572</v>
      </c>
      <c r="M172" s="243">
        <f t="shared" si="76"/>
        <v>3.1505395084851502</v>
      </c>
      <c r="O172" s="238">
        <v>2033</v>
      </c>
      <c r="P172" s="244">
        <f t="shared" si="77"/>
        <v>173966.30534088396</v>
      </c>
      <c r="Q172" s="245">
        <f t="shared" si="78"/>
        <v>62981.155499570646</v>
      </c>
      <c r="R172" s="245">
        <f t="shared" si="79"/>
        <v>163343.56392578073</v>
      </c>
      <c r="S172" s="245">
        <f t="shared" si="80"/>
        <v>186216.38967337846</v>
      </c>
      <c r="T172" s="246">
        <f t="shared" si="81"/>
        <v>46978.441057318167</v>
      </c>
      <c r="U172" s="239">
        <f t="shared" si="70"/>
        <v>633485.85549693194</v>
      </c>
    </row>
    <row r="173" spans="2:21" x14ac:dyDescent="0.25">
      <c r="B173" s="29">
        <v>2034</v>
      </c>
      <c r="C173" s="30">
        <f t="shared" si="83"/>
        <v>26774082.815910518</v>
      </c>
      <c r="D173" s="30">
        <f t="shared" si="84"/>
        <v>24835569.488284253</v>
      </c>
      <c r="E173" s="31">
        <f t="shared" si="71"/>
        <v>1938513.3276262656</v>
      </c>
      <c r="G173" s="29">
        <v>2034</v>
      </c>
      <c r="H173" s="241">
        <f t="shared" si="82"/>
        <v>1.9385133276262656</v>
      </c>
      <c r="I173" s="242">
        <f t="shared" si="72"/>
        <v>8.4458685675227029E-3</v>
      </c>
      <c r="J173" s="242">
        <f t="shared" si="73"/>
        <v>5.6598769011509689E-2</v>
      </c>
      <c r="K173" s="242">
        <f t="shared" si="74"/>
        <v>0.37216751233245066</v>
      </c>
      <c r="L173" s="242">
        <f t="shared" si="75"/>
        <v>0.70166882858592572</v>
      </c>
      <c r="M173" s="243">
        <f t="shared" si="76"/>
        <v>3.1505395084851502</v>
      </c>
      <c r="O173" s="238">
        <v>2034</v>
      </c>
      <c r="P173" s="244">
        <f t="shared" si="77"/>
        <v>174057.23940669448</v>
      </c>
      <c r="Q173" s="245">
        <f t="shared" si="78"/>
        <v>63014.076429447254</v>
      </c>
      <c r="R173" s="245">
        <f t="shared" si="79"/>
        <v>163428.94536997849</v>
      </c>
      <c r="S173" s="245">
        <f t="shared" si="80"/>
        <v>186313.72699051225</v>
      </c>
      <c r="T173" s="246">
        <f t="shared" si="81"/>
        <v>47002.997195602598</v>
      </c>
      <c r="U173" s="239">
        <f t="shared" si="70"/>
        <v>633816.9853922351</v>
      </c>
    </row>
    <row r="174" spans="2:21" x14ac:dyDescent="0.25">
      <c r="B174" s="29">
        <v>2035</v>
      </c>
      <c r="C174" s="30">
        <f t="shared" si="83"/>
        <v>27069542.525011323</v>
      </c>
      <c r="D174" s="30">
        <f t="shared" si="84"/>
        <v>25130016.444918629</v>
      </c>
      <c r="E174" s="31">
        <f t="shared" si="71"/>
        <v>1939526.0800926946</v>
      </c>
      <c r="G174" s="29">
        <v>2035</v>
      </c>
      <c r="H174" s="241">
        <f t="shared" si="82"/>
        <v>1.9395260800926946</v>
      </c>
      <c r="I174" s="242">
        <f t="shared" si="72"/>
        <v>8.4458685675227029E-3</v>
      </c>
      <c r="J174" s="242">
        <f t="shared" si="73"/>
        <v>5.6598769011509689E-2</v>
      </c>
      <c r="K174" s="242">
        <f t="shared" si="74"/>
        <v>0.37216751233245066</v>
      </c>
      <c r="L174" s="242">
        <f t="shared" si="75"/>
        <v>0.70166882858592572</v>
      </c>
      <c r="M174" s="243">
        <f t="shared" si="76"/>
        <v>3.1505395084851502</v>
      </c>
      <c r="O174" s="238">
        <v>2035</v>
      </c>
      <c r="P174" s="244">
        <f t="shared" si="77"/>
        <v>174148.17347250503</v>
      </c>
      <c r="Q174" s="245">
        <f t="shared" si="78"/>
        <v>63046.997359323868</v>
      </c>
      <c r="R174" s="245">
        <f t="shared" si="79"/>
        <v>163514.32681417625</v>
      </c>
      <c r="S174" s="245">
        <f t="shared" si="80"/>
        <v>186411.06430764601</v>
      </c>
      <c r="T174" s="246">
        <f t="shared" si="81"/>
        <v>47027.553333887023</v>
      </c>
      <c r="U174" s="239">
        <f t="shared" si="70"/>
        <v>634148.11528753815</v>
      </c>
    </row>
    <row r="175" spans="2:21" x14ac:dyDescent="0.25">
      <c r="B175" s="29">
        <v>2036</v>
      </c>
      <c r="C175" s="30">
        <f t="shared" si="83"/>
        <v>27365002.234112129</v>
      </c>
      <c r="D175" s="30">
        <f t="shared" si="84"/>
        <v>25424463.401553005</v>
      </c>
      <c r="E175" s="31">
        <f t="shared" si="71"/>
        <v>1940538.8325591236</v>
      </c>
      <c r="G175" s="29">
        <v>2036</v>
      </c>
      <c r="H175" s="241">
        <f t="shared" si="82"/>
        <v>1.9405388325591237</v>
      </c>
      <c r="I175" s="242">
        <f t="shared" si="72"/>
        <v>8.4458685675227029E-3</v>
      </c>
      <c r="J175" s="242">
        <f t="shared" si="73"/>
        <v>5.6598769011509689E-2</v>
      </c>
      <c r="K175" s="242">
        <f t="shared" si="74"/>
        <v>0.37216751233245066</v>
      </c>
      <c r="L175" s="242">
        <f t="shared" si="75"/>
        <v>0.70166882858592572</v>
      </c>
      <c r="M175" s="243">
        <f t="shared" si="76"/>
        <v>3.1505395084851502</v>
      </c>
      <c r="O175" s="238">
        <v>2036</v>
      </c>
      <c r="P175" s="244">
        <f t="shared" si="77"/>
        <v>174239.10753831555</v>
      </c>
      <c r="Q175" s="245">
        <f t="shared" si="78"/>
        <v>63079.91828920049</v>
      </c>
      <c r="R175" s="245">
        <f t="shared" si="79"/>
        <v>163599.70825837401</v>
      </c>
      <c r="S175" s="245">
        <f t="shared" si="80"/>
        <v>186508.40162477983</v>
      </c>
      <c r="T175" s="246">
        <f t="shared" si="81"/>
        <v>47052.109472171469</v>
      </c>
      <c r="U175" s="239">
        <f t="shared" si="70"/>
        <v>634479.24518284143</v>
      </c>
    </row>
    <row r="176" spans="2:21" x14ac:dyDescent="0.25">
      <c r="B176" s="29">
        <v>2037</v>
      </c>
      <c r="C176" s="30">
        <f t="shared" si="83"/>
        <v>27660461.943212934</v>
      </c>
      <c r="D176" s="30">
        <f t="shared" si="84"/>
        <v>25718910.358187381</v>
      </c>
      <c r="E176" s="31">
        <f t="shared" si="71"/>
        <v>1941551.5850255527</v>
      </c>
      <c r="G176" s="29">
        <v>2037</v>
      </c>
      <c r="H176" s="241">
        <f t="shared" si="82"/>
        <v>1.9415515850255527</v>
      </c>
      <c r="I176" s="242">
        <f t="shared" si="72"/>
        <v>8.4458685675227029E-3</v>
      </c>
      <c r="J176" s="242">
        <f t="shared" si="73"/>
        <v>5.6598769011509689E-2</v>
      </c>
      <c r="K176" s="242">
        <f t="shared" si="74"/>
        <v>0.37216751233245066</v>
      </c>
      <c r="L176" s="242">
        <f t="shared" si="75"/>
        <v>0.70166882858592572</v>
      </c>
      <c r="M176" s="243">
        <f t="shared" si="76"/>
        <v>3.1505395084851502</v>
      </c>
      <c r="O176" s="238">
        <v>2037</v>
      </c>
      <c r="P176" s="244">
        <f t="shared" si="77"/>
        <v>174330.04160412608</v>
      </c>
      <c r="Q176" s="245">
        <f t="shared" si="78"/>
        <v>63112.839219077105</v>
      </c>
      <c r="R176" s="245">
        <f t="shared" si="79"/>
        <v>163685.08970257177</v>
      </c>
      <c r="S176" s="245">
        <f t="shared" si="80"/>
        <v>186605.73894191359</v>
      </c>
      <c r="T176" s="246">
        <f t="shared" si="81"/>
        <v>47076.665610455893</v>
      </c>
      <c r="U176" s="239">
        <f t="shared" si="70"/>
        <v>634810.37507814448</v>
      </c>
    </row>
    <row r="177" spans="2:26" x14ac:dyDescent="0.25">
      <c r="B177" s="29">
        <v>2038</v>
      </c>
      <c r="C177" s="30">
        <f t="shared" si="83"/>
        <v>27955921.652313739</v>
      </c>
      <c r="D177" s="30">
        <f t="shared" si="84"/>
        <v>26013357.314821757</v>
      </c>
      <c r="E177" s="31">
        <f t="shared" si="71"/>
        <v>1942564.3374919817</v>
      </c>
      <c r="G177" s="29">
        <v>2038</v>
      </c>
      <c r="H177" s="241">
        <f t="shared" si="82"/>
        <v>1.9425643374919817</v>
      </c>
      <c r="I177" s="242">
        <f t="shared" si="72"/>
        <v>8.4458685675227029E-3</v>
      </c>
      <c r="J177" s="242">
        <f t="shared" si="73"/>
        <v>5.6598769011509689E-2</v>
      </c>
      <c r="K177" s="242">
        <f t="shared" si="74"/>
        <v>0.37216751233245066</v>
      </c>
      <c r="L177" s="242">
        <f t="shared" si="75"/>
        <v>0.70166882858592572</v>
      </c>
      <c r="M177" s="243">
        <f t="shared" si="76"/>
        <v>3.1505395084851502</v>
      </c>
      <c r="O177" s="238">
        <v>2038</v>
      </c>
      <c r="P177" s="244">
        <f t="shared" si="77"/>
        <v>174420.97566993663</v>
      </c>
      <c r="Q177" s="245">
        <f t="shared" si="78"/>
        <v>63145.760148953719</v>
      </c>
      <c r="R177" s="245">
        <f t="shared" si="79"/>
        <v>163770.47114676953</v>
      </c>
      <c r="S177" s="245">
        <f t="shared" si="80"/>
        <v>186703.07625904735</v>
      </c>
      <c r="T177" s="246">
        <f t="shared" si="81"/>
        <v>47101.221748740325</v>
      </c>
      <c r="U177" s="239">
        <f t="shared" si="70"/>
        <v>635141.50497344753</v>
      </c>
    </row>
    <row r="178" spans="2:26" x14ac:dyDescent="0.25">
      <c r="B178" s="29">
        <v>2039</v>
      </c>
      <c r="C178" s="30">
        <f t="shared" si="83"/>
        <v>28251381.361414544</v>
      </c>
      <c r="D178" s="30">
        <f t="shared" si="84"/>
        <v>26307804.271456134</v>
      </c>
      <c r="E178" s="31">
        <f t="shared" si="71"/>
        <v>1943577.0899584107</v>
      </c>
      <c r="G178" s="29">
        <v>2039</v>
      </c>
      <c r="H178" s="241">
        <f t="shared" si="82"/>
        <v>1.9435770899584106</v>
      </c>
      <c r="I178" s="242">
        <f t="shared" si="72"/>
        <v>8.4458685675227029E-3</v>
      </c>
      <c r="J178" s="242">
        <f t="shared" si="73"/>
        <v>5.6598769011509689E-2</v>
      </c>
      <c r="K178" s="242">
        <f t="shared" si="74"/>
        <v>0.37216751233245066</v>
      </c>
      <c r="L178" s="242">
        <f t="shared" si="75"/>
        <v>0.70166882858592572</v>
      </c>
      <c r="M178" s="243">
        <f t="shared" si="76"/>
        <v>3.1505395084851502</v>
      </c>
      <c r="O178" s="238">
        <v>2039</v>
      </c>
      <c r="P178" s="244">
        <f t="shared" si="77"/>
        <v>174511.90973574715</v>
      </c>
      <c r="Q178" s="245">
        <f t="shared" si="78"/>
        <v>63178.681078830334</v>
      </c>
      <c r="R178" s="245">
        <f t="shared" si="79"/>
        <v>163855.85259096729</v>
      </c>
      <c r="S178" s="245">
        <f t="shared" si="80"/>
        <v>186800.41357618113</v>
      </c>
      <c r="T178" s="246">
        <f t="shared" si="81"/>
        <v>47125.777887024749</v>
      </c>
      <c r="U178" s="239">
        <f t="shared" si="70"/>
        <v>635472.6348687507</v>
      </c>
    </row>
    <row r="179" spans="2:26" x14ac:dyDescent="0.25">
      <c r="B179" s="29">
        <v>2040</v>
      </c>
      <c r="C179" s="30">
        <f t="shared" si="83"/>
        <v>28546841.07051535</v>
      </c>
      <c r="D179" s="30">
        <f t="shared" si="84"/>
        <v>26602251.22809051</v>
      </c>
      <c r="E179" s="31">
        <f t="shared" si="71"/>
        <v>1944589.8424248397</v>
      </c>
      <c r="G179" s="29">
        <v>2040</v>
      </c>
      <c r="H179" s="241">
        <f t="shared" si="82"/>
        <v>1.9445898424248398</v>
      </c>
      <c r="I179" s="242">
        <f t="shared" si="72"/>
        <v>8.4458685675227029E-3</v>
      </c>
      <c r="J179" s="242">
        <f t="shared" si="73"/>
        <v>5.6598769011509689E-2</v>
      </c>
      <c r="K179" s="242">
        <f t="shared" si="74"/>
        <v>0.37216751233245066</v>
      </c>
      <c r="L179" s="242">
        <f t="shared" si="75"/>
        <v>0.70166882858592572</v>
      </c>
      <c r="M179" s="243">
        <f t="shared" si="76"/>
        <v>3.1505395084851502</v>
      </c>
      <c r="O179" s="238">
        <v>2040</v>
      </c>
      <c r="P179" s="244">
        <f t="shared" si="77"/>
        <v>174602.84380155767</v>
      </c>
      <c r="Q179" s="245">
        <f t="shared" si="78"/>
        <v>63211.602008706948</v>
      </c>
      <c r="R179" s="245">
        <f t="shared" si="79"/>
        <v>163941.23403516508</v>
      </c>
      <c r="S179" s="245">
        <f t="shared" si="80"/>
        <v>186897.75089331495</v>
      </c>
      <c r="T179" s="246">
        <f t="shared" si="81"/>
        <v>47150.334025309181</v>
      </c>
      <c r="U179" s="239">
        <f t="shared" si="70"/>
        <v>635803.76476405386</v>
      </c>
    </row>
    <row r="180" spans="2:26" ht="17.25" thickBot="1" x14ac:dyDescent="0.3">
      <c r="B180" s="71">
        <v>2041</v>
      </c>
      <c r="C180" s="33">
        <f>SUM(Traffic!S7,Traffic!S33:S40)*365</f>
        <v>28842300.779616155</v>
      </c>
      <c r="D180" s="33">
        <f>SUM(Traffic!AF7,Traffic!AF33:AF40)*365</f>
        <v>26896698.184724912</v>
      </c>
      <c r="E180" s="34">
        <f t="shared" si="71"/>
        <v>1945602.5948912427</v>
      </c>
      <c r="G180" s="71">
        <v>2041</v>
      </c>
      <c r="H180" s="259">
        <f t="shared" si="82"/>
        <v>1.9456025948912428</v>
      </c>
      <c r="I180" s="247">
        <f t="shared" si="72"/>
        <v>8.4458685675227029E-3</v>
      </c>
      <c r="J180" s="247">
        <f t="shared" si="73"/>
        <v>5.6598769011509689E-2</v>
      </c>
      <c r="K180" s="247">
        <f t="shared" si="74"/>
        <v>0.37216751233245066</v>
      </c>
      <c r="L180" s="247">
        <f t="shared" si="75"/>
        <v>0.70166882858592572</v>
      </c>
      <c r="M180" s="248">
        <f t="shared" si="76"/>
        <v>3.1505395084851502</v>
      </c>
      <c r="O180" s="249">
        <v>2041</v>
      </c>
      <c r="P180" s="250">
        <f t="shared" si="77"/>
        <v>174693.77786736586</v>
      </c>
      <c r="Q180" s="251">
        <f t="shared" si="78"/>
        <v>63244.522938582726</v>
      </c>
      <c r="R180" s="251">
        <f t="shared" si="79"/>
        <v>164026.61547936065</v>
      </c>
      <c r="S180" s="251">
        <f t="shared" si="80"/>
        <v>186995.08821044621</v>
      </c>
      <c r="T180" s="252">
        <f t="shared" si="81"/>
        <v>47174.890163592987</v>
      </c>
      <c r="U180" s="253">
        <f t="shared" si="70"/>
        <v>636134.89465934841</v>
      </c>
    </row>
    <row r="181" spans="2:26" ht="16.5" customHeight="1" x14ac:dyDescent="0.25">
      <c r="G181" s="41"/>
      <c r="H181" s="41"/>
      <c r="I181" s="41"/>
      <c r="J181" s="41"/>
      <c r="K181" s="41"/>
      <c r="L181" s="41"/>
      <c r="M181" s="41"/>
      <c r="P181" s="223"/>
      <c r="S181" s="51"/>
      <c r="T181" s="223"/>
      <c r="V181" s="311"/>
      <c r="W181" s="311"/>
      <c r="X181" s="311"/>
      <c r="Y181" s="311"/>
      <c r="Z181" s="311"/>
    </row>
    <row r="182" spans="2:26" ht="16.5" customHeight="1" x14ac:dyDescent="0.25">
      <c r="G182" s="41"/>
      <c r="H182" s="41"/>
      <c r="I182" s="41"/>
      <c r="J182" s="41"/>
      <c r="K182" s="41"/>
      <c r="L182" s="41"/>
      <c r="M182" s="41"/>
      <c r="P182" s="223"/>
      <c r="S182" s="51"/>
      <c r="T182" s="223"/>
      <c r="V182" s="311"/>
      <c r="W182" s="311"/>
      <c r="X182" s="311"/>
      <c r="Y182" s="311"/>
      <c r="Z182" s="311"/>
    </row>
    <row r="183" spans="2:26" s="314" customFormat="1" ht="34.5" customHeight="1" thickBot="1" x14ac:dyDescent="0.3">
      <c r="B183" s="186" t="s">
        <v>257</v>
      </c>
      <c r="C183" s="186"/>
      <c r="D183" s="186"/>
      <c r="E183" s="186"/>
      <c r="G183" s="185" t="s">
        <v>258</v>
      </c>
      <c r="H183" s="185"/>
      <c r="I183" s="185"/>
      <c r="J183" s="185"/>
      <c r="K183" s="185"/>
      <c r="L183" s="185"/>
      <c r="M183" s="185"/>
      <c r="O183" s="344" t="s">
        <v>259</v>
      </c>
      <c r="P183" s="344"/>
      <c r="Q183" s="344"/>
      <c r="R183" s="344"/>
      <c r="S183" s="344"/>
      <c r="T183" s="344"/>
      <c r="U183" s="344"/>
    </row>
    <row r="184" spans="2:26" ht="16.5" customHeight="1" x14ac:dyDescent="0.25">
      <c r="B184" s="148" t="s">
        <v>19</v>
      </c>
      <c r="C184" s="150" t="s">
        <v>225</v>
      </c>
      <c r="D184" s="150" t="s">
        <v>224</v>
      </c>
      <c r="E184" s="152" t="s">
        <v>47</v>
      </c>
      <c r="G184" s="155" t="s">
        <v>19</v>
      </c>
      <c r="H184" s="157" t="s">
        <v>79</v>
      </c>
      <c r="I184" s="226" t="s">
        <v>81</v>
      </c>
      <c r="J184" s="226"/>
      <c r="K184" s="226"/>
      <c r="L184" s="226"/>
      <c r="M184" s="227"/>
      <c r="O184" s="168" t="s">
        <v>19</v>
      </c>
      <c r="P184" s="228" t="s">
        <v>78</v>
      </c>
      <c r="Q184" s="229"/>
      <c r="R184" s="229"/>
      <c r="S184" s="229"/>
      <c r="T184" s="230"/>
      <c r="U184" s="179" t="s">
        <v>80</v>
      </c>
    </row>
    <row r="185" spans="2:26" ht="15" customHeight="1" thickBot="1" x14ac:dyDescent="0.3">
      <c r="B185" s="149"/>
      <c r="C185" s="151"/>
      <c r="D185" s="151"/>
      <c r="E185" s="153"/>
      <c r="G185" s="156"/>
      <c r="H185" s="158"/>
      <c r="I185" s="231" t="s">
        <v>21</v>
      </c>
      <c r="J185" s="231" t="s">
        <v>22</v>
      </c>
      <c r="K185" s="231" t="s">
        <v>23</v>
      </c>
      <c r="L185" s="231" t="s">
        <v>24</v>
      </c>
      <c r="M185" s="232" t="s">
        <v>25</v>
      </c>
      <c r="O185" s="169"/>
      <c r="P185" s="233" t="s">
        <v>21</v>
      </c>
      <c r="Q185" s="233" t="s">
        <v>22</v>
      </c>
      <c r="R185" s="233" t="s">
        <v>23</v>
      </c>
      <c r="S185" s="233" t="s">
        <v>24</v>
      </c>
      <c r="T185" s="234" t="s">
        <v>25</v>
      </c>
      <c r="U185" s="180"/>
    </row>
    <row r="186" spans="2:26" ht="14.45" customHeight="1" x14ac:dyDescent="0.25">
      <c r="B186" s="111">
        <v>2017</v>
      </c>
      <c r="C186" s="132" t="s">
        <v>60</v>
      </c>
      <c r="D186" s="133"/>
      <c r="E186" s="134"/>
      <c r="G186" s="70">
        <v>2017</v>
      </c>
      <c r="H186" s="159" t="s">
        <v>60</v>
      </c>
      <c r="I186" s="160"/>
      <c r="J186" s="160"/>
      <c r="K186" s="160"/>
      <c r="L186" s="160"/>
      <c r="M186" s="161"/>
      <c r="O186" s="235">
        <v>2017</v>
      </c>
      <c r="P186" s="170" t="s">
        <v>60</v>
      </c>
      <c r="Q186" s="171"/>
      <c r="R186" s="171"/>
      <c r="S186" s="171"/>
      <c r="T186" s="172"/>
      <c r="U186" s="236">
        <f>SUM(P186:T186)</f>
        <v>0</v>
      </c>
    </row>
    <row r="187" spans="2:26" ht="14.45" customHeight="1" x14ac:dyDescent="0.25">
      <c r="B187" s="29">
        <v>2018</v>
      </c>
      <c r="C187" s="132"/>
      <c r="D187" s="133"/>
      <c r="E187" s="134"/>
      <c r="G187" s="29">
        <v>2018</v>
      </c>
      <c r="H187" s="162"/>
      <c r="I187" s="163"/>
      <c r="J187" s="163"/>
      <c r="K187" s="163"/>
      <c r="L187" s="163"/>
      <c r="M187" s="164"/>
      <c r="O187" s="238">
        <v>2018</v>
      </c>
      <c r="P187" s="173"/>
      <c r="Q187" s="174"/>
      <c r="R187" s="174"/>
      <c r="S187" s="174"/>
      <c r="T187" s="175"/>
      <c r="U187" s="239">
        <f t="shared" ref="U187:U210" si="85">SUM(P187:T187)</f>
        <v>0</v>
      </c>
    </row>
    <row r="188" spans="2:26" ht="14.45" customHeight="1" x14ac:dyDescent="0.25">
      <c r="B188" s="29">
        <v>2019</v>
      </c>
      <c r="C188" s="132"/>
      <c r="D188" s="133"/>
      <c r="E188" s="134"/>
      <c r="G188" s="29">
        <v>2019</v>
      </c>
      <c r="H188" s="162"/>
      <c r="I188" s="163"/>
      <c r="J188" s="163"/>
      <c r="K188" s="163"/>
      <c r="L188" s="163"/>
      <c r="M188" s="164"/>
      <c r="O188" s="238">
        <v>2019</v>
      </c>
      <c r="P188" s="173"/>
      <c r="Q188" s="174"/>
      <c r="R188" s="174"/>
      <c r="S188" s="174"/>
      <c r="T188" s="175"/>
      <c r="U188" s="239">
        <f t="shared" si="85"/>
        <v>0</v>
      </c>
    </row>
    <row r="189" spans="2:26" ht="14.45" customHeight="1" x14ac:dyDescent="0.25">
      <c r="B189" s="29">
        <v>2020</v>
      </c>
      <c r="C189" s="132"/>
      <c r="D189" s="133"/>
      <c r="E189" s="134"/>
      <c r="G189" s="29">
        <v>2020</v>
      </c>
      <c r="H189" s="162"/>
      <c r="I189" s="163"/>
      <c r="J189" s="163"/>
      <c r="K189" s="163"/>
      <c r="L189" s="163"/>
      <c r="M189" s="164"/>
      <c r="O189" s="238">
        <v>2020</v>
      </c>
      <c r="P189" s="173"/>
      <c r="Q189" s="174"/>
      <c r="R189" s="174"/>
      <c r="S189" s="174"/>
      <c r="T189" s="175"/>
      <c r="U189" s="239">
        <f t="shared" si="85"/>
        <v>0</v>
      </c>
    </row>
    <row r="190" spans="2:26" ht="14.45" customHeight="1" x14ac:dyDescent="0.25">
      <c r="B190" s="29">
        <v>2021</v>
      </c>
      <c r="C190" s="135"/>
      <c r="D190" s="136"/>
      <c r="E190" s="137"/>
      <c r="G190" s="29">
        <v>2021</v>
      </c>
      <c r="H190" s="165"/>
      <c r="I190" s="166"/>
      <c r="J190" s="166"/>
      <c r="K190" s="166"/>
      <c r="L190" s="166"/>
      <c r="M190" s="167"/>
      <c r="O190" s="238">
        <v>2021</v>
      </c>
      <c r="P190" s="176"/>
      <c r="Q190" s="177"/>
      <c r="R190" s="177"/>
      <c r="S190" s="177"/>
      <c r="T190" s="178"/>
      <c r="U190" s="239">
        <f t="shared" si="85"/>
        <v>0</v>
      </c>
    </row>
    <row r="191" spans="2:26" x14ac:dyDescent="0.25">
      <c r="B191" s="29">
        <v>2022</v>
      </c>
      <c r="C191" s="30">
        <f>SUM(Traffic!R24:R26,Traffic!R49:R54)*365</f>
        <v>122444536.01748964</v>
      </c>
      <c r="D191" s="30">
        <f>SUM(Traffic!AE24:AE26,Traffic!AE49:AE54)*365</f>
        <v>126977803.7046674</v>
      </c>
      <c r="E191" s="31">
        <f t="shared" ref="E191:E210" si="86">C191-D191</f>
        <v>-4533267.6871777624</v>
      </c>
      <c r="G191" s="29">
        <v>2022</v>
      </c>
      <c r="H191" s="241">
        <f>E191/1000000</f>
        <v>-4.5332676871777622</v>
      </c>
      <c r="I191" s="242">
        <f t="shared" ref="I191:I210" si="87">$U$215</f>
        <v>7.2301334818426289E-3</v>
      </c>
      <c r="J191" s="242">
        <f t="shared" ref="J191:J210" si="88">$U$216</f>
        <v>3.9296117688911836E-2</v>
      </c>
      <c r="K191" s="242">
        <f t="shared" ref="K191:K210" si="89">$U$217</f>
        <v>7.0895736175053306E-2</v>
      </c>
      <c r="L191" s="242">
        <f t="shared" ref="L191:L210" si="90">$U$218</f>
        <v>0.13366381133571345</v>
      </c>
      <c r="M191" s="243">
        <f t="shared" ref="M191:M210" si="91">$U$219</f>
        <v>0.6001593648053889</v>
      </c>
      <c r="O191" s="238">
        <v>2022</v>
      </c>
      <c r="P191" s="244">
        <f t="shared" ref="P191:P210" si="92">$H191*$I191*$Z$215</f>
        <v>-348446.94499312161</v>
      </c>
      <c r="Q191" s="245">
        <f t="shared" ref="Q191:Q210" si="93">$H191*$J191*$Z$216</f>
        <v>-102311.11295398952</v>
      </c>
      <c r="R191" s="245">
        <f t="shared" ref="R191:R210" si="94">$H191*$K191*$Z$217</f>
        <v>-72803.659305228211</v>
      </c>
      <c r="S191" s="245">
        <f t="shared" ref="S191:S210" si="95">$H191*$L191*$Z$218</f>
        <v>-82998.27838328747</v>
      </c>
      <c r="T191" s="246">
        <f t="shared" ref="T191:T210" si="96">$H191*$M191*$Z$219</f>
        <v>-20938.703278090543</v>
      </c>
      <c r="U191" s="239">
        <f t="shared" si="85"/>
        <v>-627498.69891371741</v>
      </c>
    </row>
    <row r="192" spans="2:26" x14ac:dyDescent="0.25">
      <c r="B192" s="29">
        <v>2023</v>
      </c>
      <c r="C192" s="30">
        <f>($C$210-$C$191)/19+C191</f>
        <v>123344285.91188054</v>
      </c>
      <c r="D192" s="30">
        <f>($D$210-$D$191)/19+D191</f>
        <v>127901551.79636431</v>
      </c>
      <c r="E192" s="31">
        <f t="shared" si="86"/>
        <v>-4557265.8844837695</v>
      </c>
      <c r="G192" s="29">
        <v>2023</v>
      </c>
      <c r="H192" s="241">
        <f t="shared" ref="H192:H210" si="97">E192/1000000</f>
        <v>-4.5572658844837699</v>
      </c>
      <c r="I192" s="242">
        <f t="shared" si="87"/>
        <v>7.2301334818426289E-3</v>
      </c>
      <c r="J192" s="242">
        <f t="shared" si="88"/>
        <v>3.9296117688911836E-2</v>
      </c>
      <c r="K192" s="242">
        <f t="shared" si="89"/>
        <v>7.0895736175053306E-2</v>
      </c>
      <c r="L192" s="242">
        <f t="shared" si="90"/>
        <v>0.13366381133571345</v>
      </c>
      <c r="M192" s="243">
        <f t="shared" si="91"/>
        <v>0.6001593648053889</v>
      </c>
      <c r="O192" s="238">
        <v>2023</v>
      </c>
      <c r="P192" s="244">
        <f t="shared" si="92"/>
        <v>-350291.55226400314</v>
      </c>
      <c r="Q192" s="245">
        <f t="shared" si="93"/>
        <v>-102852.72718123047</v>
      </c>
      <c r="R192" s="245">
        <f t="shared" si="94"/>
        <v>-73189.067073127735</v>
      </c>
      <c r="S192" s="245">
        <f t="shared" si="95"/>
        <v>-83437.654391533099</v>
      </c>
      <c r="T192" s="246">
        <f t="shared" si="96"/>
        <v>-21049.548515405968</v>
      </c>
      <c r="U192" s="239">
        <f t="shared" si="85"/>
        <v>-630820.54942530044</v>
      </c>
    </row>
    <row r="193" spans="2:21" x14ac:dyDescent="0.25">
      <c r="B193" s="29">
        <v>2024</v>
      </c>
      <c r="C193" s="30">
        <f t="shared" ref="C193:C209" si="98">($C$210-$C$191)/19+C192</f>
        <v>124244035.80627143</v>
      </c>
      <c r="D193" s="30">
        <f t="shared" ref="D193:D209" si="99">($D$210-$D$191)/19+D192</f>
        <v>128825299.88806121</v>
      </c>
      <c r="E193" s="31">
        <f t="shared" si="86"/>
        <v>-4581264.0817897767</v>
      </c>
      <c r="G193" s="29">
        <v>2024</v>
      </c>
      <c r="H193" s="241">
        <f t="shared" si="97"/>
        <v>-4.5812640817897767</v>
      </c>
      <c r="I193" s="242">
        <f t="shared" si="87"/>
        <v>7.2301334818426289E-3</v>
      </c>
      <c r="J193" s="242">
        <f t="shared" si="88"/>
        <v>3.9296117688911836E-2</v>
      </c>
      <c r="K193" s="242">
        <f t="shared" si="89"/>
        <v>7.0895736175053306E-2</v>
      </c>
      <c r="L193" s="242">
        <f t="shared" si="90"/>
        <v>0.13366381133571345</v>
      </c>
      <c r="M193" s="243">
        <f t="shared" si="91"/>
        <v>0.6001593648053889</v>
      </c>
      <c r="O193" s="238">
        <v>2024</v>
      </c>
      <c r="P193" s="244">
        <f t="shared" si="92"/>
        <v>-352136.15953488462</v>
      </c>
      <c r="Q193" s="245">
        <f t="shared" si="93"/>
        <v>-103394.34140847137</v>
      </c>
      <c r="R193" s="245">
        <f t="shared" si="94"/>
        <v>-73574.474841027244</v>
      </c>
      <c r="S193" s="245">
        <f t="shared" si="95"/>
        <v>-83877.030399778727</v>
      </c>
      <c r="T193" s="246">
        <f t="shared" si="96"/>
        <v>-21160.393752721386</v>
      </c>
      <c r="U193" s="239">
        <f t="shared" si="85"/>
        <v>-634142.39993688336</v>
      </c>
    </row>
    <row r="194" spans="2:21" x14ac:dyDescent="0.25">
      <c r="B194" s="29">
        <v>2025</v>
      </c>
      <c r="C194" s="30">
        <f t="shared" si="98"/>
        <v>125143785.70066233</v>
      </c>
      <c r="D194" s="30">
        <f t="shared" si="99"/>
        <v>129749047.97975811</v>
      </c>
      <c r="E194" s="31">
        <f t="shared" si="86"/>
        <v>-4605262.2790957838</v>
      </c>
      <c r="G194" s="29">
        <v>2025</v>
      </c>
      <c r="H194" s="241">
        <f t="shared" si="97"/>
        <v>-4.6052622790957836</v>
      </c>
      <c r="I194" s="242">
        <f t="shared" si="87"/>
        <v>7.2301334818426289E-3</v>
      </c>
      <c r="J194" s="242">
        <f t="shared" si="88"/>
        <v>3.9296117688911836E-2</v>
      </c>
      <c r="K194" s="242">
        <f t="shared" si="89"/>
        <v>7.0895736175053306E-2</v>
      </c>
      <c r="L194" s="242">
        <f t="shared" si="90"/>
        <v>0.13366381133571345</v>
      </c>
      <c r="M194" s="243">
        <f t="shared" si="91"/>
        <v>0.6001593648053889</v>
      </c>
      <c r="O194" s="238">
        <v>2025</v>
      </c>
      <c r="P194" s="244">
        <f t="shared" si="92"/>
        <v>-353980.76680576615</v>
      </c>
      <c r="Q194" s="245">
        <f t="shared" si="93"/>
        <v>-103935.95563571228</v>
      </c>
      <c r="R194" s="245">
        <f t="shared" si="94"/>
        <v>-73959.882608926753</v>
      </c>
      <c r="S194" s="245">
        <f t="shared" si="95"/>
        <v>-84316.406408024341</v>
      </c>
      <c r="T194" s="246">
        <f t="shared" si="96"/>
        <v>-21271.238990036811</v>
      </c>
      <c r="U194" s="239">
        <f t="shared" si="85"/>
        <v>-637464.25044846628</v>
      </c>
    </row>
    <row r="195" spans="2:21" x14ac:dyDescent="0.25">
      <c r="B195" s="29">
        <v>2026</v>
      </c>
      <c r="C195" s="30">
        <f t="shared" si="98"/>
        <v>126043535.59505323</v>
      </c>
      <c r="D195" s="30">
        <f t="shared" si="99"/>
        <v>130672796.07145502</v>
      </c>
      <c r="E195" s="31">
        <f t="shared" si="86"/>
        <v>-4629260.476401791</v>
      </c>
      <c r="G195" s="29">
        <v>2026</v>
      </c>
      <c r="H195" s="241">
        <f t="shared" si="97"/>
        <v>-4.6292604764017913</v>
      </c>
      <c r="I195" s="242">
        <f t="shared" si="87"/>
        <v>7.2301334818426289E-3</v>
      </c>
      <c r="J195" s="242">
        <f t="shared" si="88"/>
        <v>3.9296117688911836E-2</v>
      </c>
      <c r="K195" s="242">
        <f t="shared" si="89"/>
        <v>7.0895736175053306E-2</v>
      </c>
      <c r="L195" s="242">
        <f t="shared" si="90"/>
        <v>0.13366381133571345</v>
      </c>
      <c r="M195" s="243">
        <f t="shared" si="91"/>
        <v>0.6001593648053889</v>
      </c>
      <c r="O195" s="238">
        <v>2026</v>
      </c>
      <c r="P195" s="244">
        <f t="shared" si="92"/>
        <v>-355825.37407664768</v>
      </c>
      <c r="Q195" s="245">
        <f t="shared" si="93"/>
        <v>-104477.56986295323</v>
      </c>
      <c r="R195" s="245">
        <f t="shared" si="94"/>
        <v>-74345.290376826291</v>
      </c>
      <c r="S195" s="245">
        <f t="shared" si="95"/>
        <v>-84755.782416269984</v>
      </c>
      <c r="T195" s="246">
        <f t="shared" si="96"/>
        <v>-21382.084227352232</v>
      </c>
      <c r="U195" s="239">
        <f t="shared" si="85"/>
        <v>-640786.10096004943</v>
      </c>
    </row>
    <row r="196" spans="2:21" x14ac:dyDescent="0.25">
      <c r="B196" s="29">
        <v>2027</v>
      </c>
      <c r="C196" s="30">
        <f t="shared" si="98"/>
        <v>126943285.48944412</v>
      </c>
      <c r="D196" s="30">
        <f t="shared" si="99"/>
        <v>131596544.16315192</v>
      </c>
      <c r="E196" s="31">
        <f t="shared" si="86"/>
        <v>-4653258.6737077981</v>
      </c>
      <c r="G196" s="29">
        <v>2027</v>
      </c>
      <c r="H196" s="241">
        <f t="shared" si="97"/>
        <v>-4.6532586737077981</v>
      </c>
      <c r="I196" s="242">
        <f t="shared" si="87"/>
        <v>7.2301334818426289E-3</v>
      </c>
      <c r="J196" s="242">
        <f t="shared" si="88"/>
        <v>3.9296117688911836E-2</v>
      </c>
      <c r="K196" s="242">
        <f t="shared" si="89"/>
        <v>7.0895736175053306E-2</v>
      </c>
      <c r="L196" s="242">
        <f t="shared" si="90"/>
        <v>0.13366381133571345</v>
      </c>
      <c r="M196" s="243">
        <f t="shared" si="91"/>
        <v>0.6001593648053889</v>
      </c>
      <c r="O196" s="238">
        <v>2027</v>
      </c>
      <c r="P196" s="244">
        <f t="shared" si="92"/>
        <v>-357669.98134752922</v>
      </c>
      <c r="Q196" s="245">
        <f t="shared" si="93"/>
        <v>-105019.18409019413</v>
      </c>
      <c r="R196" s="245">
        <f t="shared" si="94"/>
        <v>-74730.698144725786</v>
      </c>
      <c r="S196" s="245">
        <f t="shared" si="95"/>
        <v>-85195.158424515597</v>
      </c>
      <c r="T196" s="246">
        <f t="shared" si="96"/>
        <v>-21492.929464667654</v>
      </c>
      <c r="U196" s="239">
        <f t="shared" si="85"/>
        <v>-644107.95147163246</v>
      </c>
    </row>
    <row r="197" spans="2:21" x14ac:dyDescent="0.25">
      <c r="B197" s="29">
        <v>2028</v>
      </c>
      <c r="C197" s="30">
        <f t="shared" si="98"/>
        <v>127843035.38383502</v>
      </c>
      <c r="D197" s="30">
        <f t="shared" si="99"/>
        <v>132520292.25484882</v>
      </c>
      <c r="E197" s="31">
        <f t="shared" si="86"/>
        <v>-4677256.8710138053</v>
      </c>
      <c r="G197" s="29">
        <v>2028</v>
      </c>
      <c r="H197" s="241">
        <f t="shared" si="97"/>
        <v>-4.6772568710138049</v>
      </c>
      <c r="I197" s="242">
        <f t="shared" si="87"/>
        <v>7.2301334818426289E-3</v>
      </c>
      <c r="J197" s="242">
        <f t="shared" si="88"/>
        <v>3.9296117688911836E-2</v>
      </c>
      <c r="K197" s="242">
        <f t="shared" si="89"/>
        <v>7.0895736175053306E-2</v>
      </c>
      <c r="L197" s="242">
        <f t="shared" si="90"/>
        <v>0.13366381133571345</v>
      </c>
      <c r="M197" s="243">
        <f t="shared" si="91"/>
        <v>0.6001593648053889</v>
      </c>
      <c r="O197" s="238">
        <v>2028</v>
      </c>
      <c r="P197" s="244">
        <f t="shared" si="92"/>
        <v>-359514.58861841063</v>
      </c>
      <c r="Q197" s="245">
        <f t="shared" si="93"/>
        <v>-105560.79831743504</v>
      </c>
      <c r="R197" s="245">
        <f t="shared" si="94"/>
        <v>-75116.105912625309</v>
      </c>
      <c r="S197" s="245">
        <f t="shared" si="95"/>
        <v>-85634.534432761211</v>
      </c>
      <c r="T197" s="246">
        <f t="shared" si="96"/>
        <v>-21603.774701983079</v>
      </c>
      <c r="U197" s="239">
        <f t="shared" si="85"/>
        <v>-647429.80198321526</v>
      </c>
    </row>
    <row r="198" spans="2:21" x14ac:dyDescent="0.25">
      <c r="B198" s="29">
        <v>2029</v>
      </c>
      <c r="C198" s="30">
        <f t="shared" si="98"/>
        <v>128742785.27822591</v>
      </c>
      <c r="D198" s="30">
        <f t="shared" si="99"/>
        <v>133444040.34654573</v>
      </c>
      <c r="E198" s="31">
        <f t="shared" si="86"/>
        <v>-4701255.0683198124</v>
      </c>
      <c r="G198" s="29">
        <v>2029</v>
      </c>
      <c r="H198" s="241">
        <f t="shared" si="97"/>
        <v>-4.7012550683198127</v>
      </c>
      <c r="I198" s="242">
        <f t="shared" si="87"/>
        <v>7.2301334818426289E-3</v>
      </c>
      <c r="J198" s="242">
        <f t="shared" si="88"/>
        <v>3.9296117688911836E-2</v>
      </c>
      <c r="K198" s="242">
        <f t="shared" si="89"/>
        <v>7.0895736175053306E-2</v>
      </c>
      <c r="L198" s="242">
        <f t="shared" si="90"/>
        <v>0.13366381133571345</v>
      </c>
      <c r="M198" s="243">
        <f t="shared" si="91"/>
        <v>0.6001593648053889</v>
      </c>
      <c r="O198" s="238">
        <v>2029</v>
      </c>
      <c r="P198" s="244">
        <f t="shared" si="92"/>
        <v>-361359.19588929223</v>
      </c>
      <c r="Q198" s="245">
        <f t="shared" si="93"/>
        <v>-106102.41254467599</v>
      </c>
      <c r="R198" s="245">
        <f t="shared" si="94"/>
        <v>-75501.513680524848</v>
      </c>
      <c r="S198" s="245">
        <f t="shared" si="95"/>
        <v>-86073.910441006854</v>
      </c>
      <c r="T198" s="246">
        <f t="shared" si="96"/>
        <v>-21714.6199392985</v>
      </c>
      <c r="U198" s="239">
        <f t="shared" si="85"/>
        <v>-650751.65249479841</v>
      </c>
    </row>
    <row r="199" spans="2:21" x14ac:dyDescent="0.25">
      <c r="B199" s="29">
        <v>2030</v>
      </c>
      <c r="C199" s="30">
        <f t="shared" si="98"/>
        <v>129642535.17261681</v>
      </c>
      <c r="D199" s="30">
        <f t="shared" si="99"/>
        <v>134367788.43824261</v>
      </c>
      <c r="E199" s="31">
        <f t="shared" si="86"/>
        <v>-4725253.2656258047</v>
      </c>
      <c r="G199" s="29">
        <v>2030</v>
      </c>
      <c r="H199" s="241">
        <f t="shared" si="97"/>
        <v>-4.7252532656258044</v>
      </c>
      <c r="I199" s="242">
        <f t="shared" si="87"/>
        <v>7.2301334818426289E-3</v>
      </c>
      <c r="J199" s="242">
        <f t="shared" si="88"/>
        <v>3.9296117688911836E-2</v>
      </c>
      <c r="K199" s="242">
        <f t="shared" si="89"/>
        <v>7.0895736175053306E-2</v>
      </c>
      <c r="L199" s="242">
        <f t="shared" si="90"/>
        <v>0.13366381133571345</v>
      </c>
      <c r="M199" s="243">
        <f t="shared" si="91"/>
        <v>0.6001593648053889</v>
      </c>
      <c r="O199" s="238">
        <v>2030</v>
      </c>
      <c r="P199" s="244">
        <f t="shared" si="92"/>
        <v>-363203.8031601726</v>
      </c>
      <c r="Q199" s="245">
        <f t="shared" si="93"/>
        <v>-106644.02677191656</v>
      </c>
      <c r="R199" s="245">
        <f t="shared" si="94"/>
        <v>-75886.921448424109</v>
      </c>
      <c r="S199" s="245">
        <f t="shared" si="95"/>
        <v>-86513.286449252191</v>
      </c>
      <c r="T199" s="246">
        <f t="shared" si="96"/>
        <v>-21825.465176613852</v>
      </c>
      <c r="U199" s="239">
        <f t="shared" si="85"/>
        <v>-654073.50300637924</v>
      </c>
    </row>
    <row r="200" spans="2:21" x14ac:dyDescent="0.25">
      <c r="B200" s="29">
        <v>2031</v>
      </c>
      <c r="C200" s="30">
        <f t="shared" si="98"/>
        <v>130542285.06700771</v>
      </c>
      <c r="D200" s="30">
        <f t="shared" si="99"/>
        <v>135291536.5299395</v>
      </c>
      <c r="E200" s="31">
        <f t="shared" si="86"/>
        <v>-4749251.4629317969</v>
      </c>
      <c r="G200" s="29">
        <v>2031</v>
      </c>
      <c r="H200" s="241">
        <f t="shared" si="97"/>
        <v>-4.749251462931797</v>
      </c>
      <c r="I200" s="242">
        <f t="shared" si="87"/>
        <v>7.2301334818426289E-3</v>
      </c>
      <c r="J200" s="242">
        <f t="shared" si="88"/>
        <v>3.9296117688911836E-2</v>
      </c>
      <c r="K200" s="242">
        <f t="shared" si="89"/>
        <v>7.0895736175053306E-2</v>
      </c>
      <c r="L200" s="242">
        <f t="shared" si="90"/>
        <v>0.13366381133571345</v>
      </c>
      <c r="M200" s="243">
        <f t="shared" si="91"/>
        <v>0.6001593648053889</v>
      </c>
      <c r="O200" s="238">
        <v>2031</v>
      </c>
      <c r="P200" s="244">
        <f t="shared" si="92"/>
        <v>-365048.41043105297</v>
      </c>
      <c r="Q200" s="245">
        <f t="shared" si="93"/>
        <v>-107185.64099915716</v>
      </c>
      <c r="R200" s="245">
        <f t="shared" si="94"/>
        <v>-76272.329216323385</v>
      </c>
      <c r="S200" s="245">
        <f t="shared" si="95"/>
        <v>-86952.662457497558</v>
      </c>
      <c r="T200" s="246">
        <f t="shared" si="96"/>
        <v>-21936.310413929208</v>
      </c>
      <c r="U200" s="239">
        <f t="shared" si="85"/>
        <v>-657395.35351796029</v>
      </c>
    </row>
    <row r="201" spans="2:21" x14ac:dyDescent="0.25">
      <c r="B201" s="29">
        <v>2032</v>
      </c>
      <c r="C201" s="30">
        <f t="shared" si="98"/>
        <v>131442034.9613986</v>
      </c>
      <c r="D201" s="30">
        <f t="shared" si="99"/>
        <v>136215284.62163639</v>
      </c>
      <c r="E201" s="31">
        <f t="shared" si="86"/>
        <v>-4773249.6602377892</v>
      </c>
      <c r="G201" s="29">
        <v>2032</v>
      </c>
      <c r="H201" s="241">
        <f t="shared" si="97"/>
        <v>-4.7732496602377887</v>
      </c>
      <c r="I201" s="242">
        <f t="shared" si="87"/>
        <v>7.2301334818426289E-3</v>
      </c>
      <c r="J201" s="242">
        <f t="shared" si="88"/>
        <v>3.9296117688911836E-2</v>
      </c>
      <c r="K201" s="242">
        <f t="shared" si="89"/>
        <v>7.0895736175053306E-2</v>
      </c>
      <c r="L201" s="242">
        <f t="shared" si="90"/>
        <v>0.13366381133571345</v>
      </c>
      <c r="M201" s="243">
        <f t="shared" si="91"/>
        <v>0.6001593648053889</v>
      </c>
      <c r="O201" s="238">
        <v>2032</v>
      </c>
      <c r="P201" s="244">
        <f t="shared" si="92"/>
        <v>-366893.01770193334</v>
      </c>
      <c r="Q201" s="245">
        <f t="shared" si="93"/>
        <v>-107727.25522639773</v>
      </c>
      <c r="R201" s="245">
        <f t="shared" si="94"/>
        <v>-76657.736984222662</v>
      </c>
      <c r="S201" s="245">
        <f t="shared" si="95"/>
        <v>-87392.038465742895</v>
      </c>
      <c r="T201" s="246">
        <f t="shared" si="96"/>
        <v>-22047.15565124456</v>
      </c>
      <c r="U201" s="239">
        <f t="shared" si="85"/>
        <v>-660717.20402954123</v>
      </c>
    </row>
    <row r="202" spans="2:21" x14ac:dyDescent="0.25">
      <c r="B202" s="29">
        <v>2033</v>
      </c>
      <c r="C202" s="30">
        <f t="shared" si="98"/>
        <v>132341784.8557895</v>
      </c>
      <c r="D202" s="30">
        <f t="shared" si="99"/>
        <v>137139032.71333328</v>
      </c>
      <c r="E202" s="31">
        <f t="shared" si="86"/>
        <v>-4797247.8575437814</v>
      </c>
      <c r="G202" s="29">
        <v>2033</v>
      </c>
      <c r="H202" s="241">
        <f t="shared" si="97"/>
        <v>-4.7972478575437814</v>
      </c>
      <c r="I202" s="242">
        <f t="shared" si="87"/>
        <v>7.2301334818426289E-3</v>
      </c>
      <c r="J202" s="242">
        <f t="shared" si="88"/>
        <v>3.9296117688911836E-2</v>
      </c>
      <c r="K202" s="242">
        <f t="shared" si="89"/>
        <v>7.0895736175053306E-2</v>
      </c>
      <c r="L202" s="242">
        <f t="shared" si="90"/>
        <v>0.13366381133571345</v>
      </c>
      <c r="M202" s="243">
        <f t="shared" si="91"/>
        <v>0.6001593648053889</v>
      </c>
      <c r="O202" s="238">
        <v>2033</v>
      </c>
      <c r="P202" s="244">
        <f t="shared" si="92"/>
        <v>-368737.62497281376</v>
      </c>
      <c r="Q202" s="245">
        <f t="shared" si="93"/>
        <v>-108268.86945363833</v>
      </c>
      <c r="R202" s="245">
        <f t="shared" si="94"/>
        <v>-77043.144752121952</v>
      </c>
      <c r="S202" s="245">
        <f t="shared" si="95"/>
        <v>-87831.414473988261</v>
      </c>
      <c r="T202" s="246">
        <f t="shared" si="96"/>
        <v>-22158.000888559913</v>
      </c>
      <c r="U202" s="239">
        <f t="shared" si="85"/>
        <v>-664039.05454112228</v>
      </c>
    </row>
    <row r="203" spans="2:21" x14ac:dyDescent="0.25">
      <c r="B203" s="29">
        <v>2034</v>
      </c>
      <c r="C203" s="30">
        <f t="shared" si="98"/>
        <v>133241534.75018039</v>
      </c>
      <c r="D203" s="30">
        <f t="shared" si="99"/>
        <v>138062780.80503017</v>
      </c>
      <c r="E203" s="31">
        <f t="shared" si="86"/>
        <v>-4821246.0548497736</v>
      </c>
      <c r="G203" s="29">
        <v>2034</v>
      </c>
      <c r="H203" s="241">
        <f t="shared" si="97"/>
        <v>-4.821246054849774</v>
      </c>
      <c r="I203" s="242">
        <f t="shared" si="87"/>
        <v>7.2301334818426289E-3</v>
      </c>
      <c r="J203" s="242">
        <f t="shared" si="88"/>
        <v>3.9296117688911836E-2</v>
      </c>
      <c r="K203" s="242">
        <f t="shared" si="89"/>
        <v>7.0895736175053306E-2</v>
      </c>
      <c r="L203" s="242">
        <f t="shared" si="90"/>
        <v>0.13366381133571345</v>
      </c>
      <c r="M203" s="243">
        <f t="shared" si="91"/>
        <v>0.6001593648053889</v>
      </c>
      <c r="O203" s="238">
        <v>2034</v>
      </c>
      <c r="P203" s="244">
        <f t="shared" si="92"/>
        <v>-370582.23224369413</v>
      </c>
      <c r="Q203" s="245">
        <f t="shared" si="93"/>
        <v>-108810.48368087891</v>
      </c>
      <c r="R203" s="245">
        <f t="shared" si="94"/>
        <v>-77428.552520021229</v>
      </c>
      <c r="S203" s="245">
        <f t="shared" si="95"/>
        <v>-88270.790482233613</v>
      </c>
      <c r="T203" s="246">
        <f t="shared" si="96"/>
        <v>-22268.846125875269</v>
      </c>
      <c r="U203" s="239">
        <f t="shared" si="85"/>
        <v>-667360.90505270311</v>
      </c>
    </row>
    <row r="204" spans="2:21" x14ac:dyDescent="0.25">
      <c r="B204" s="29">
        <v>2035</v>
      </c>
      <c r="C204" s="30">
        <f t="shared" si="98"/>
        <v>134141284.64457129</v>
      </c>
      <c r="D204" s="30">
        <f t="shared" si="99"/>
        <v>138986528.89672706</v>
      </c>
      <c r="E204" s="31">
        <f t="shared" si="86"/>
        <v>-4845244.2521557659</v>
      </c>
      <c r="G204" s="29">
        <v>2035</v>
      </c>
      <c r="H204" s="241">
        <f t="shared" si="97"/>
        <v>-4.8452442521557657</v>
      </c>
      <c r="I204" s="242">
        <f t="shared" si="87"/>
        <v>7.2301334818426289E-3</v>
      </c>
      <c r="J204" s="242">
        <f t="shared" si="88"/>
        <v>3.9296117688911836E-2</v>
      </c>
      <c r="K204" s="242">
        <f t="shared" si="89"/>
        <v>7.0895736175053306E-2</v>
      </c>
      <c r="L204" s="242">
        <f t="shared" si="90"/>
        <v>0.13366381133571345</v>
      </c>
      <c r="M204" s="243">
        <f t="shared" si="91"/>
        <v>0.6001593648053889</v>
      </c>
      <c r="O204" s="238">
        <v>2035</v>
      </c>
      <c r="P204" s="244">
        <f t="shared" si="92"/>
        <v>-372426.83951457444</v>
      </c>
      <c r="Q204" s="245">
        <f t="shared" si="93"/>
        <v>-109352.09790811948</v>
      </c>
      <c r="R204" s="245">
        <f t="shared" si="94"/>
        <v>-77813.96028792049</v>
      </c>
      <c r="S204" s="245">
        <f t="shared" si="95"/>
        <v>-88710.16649047895</v>
      </c>
      <c r="T204" s="246">
        <f t="shared" si="96"/>
        <v>-22379.691363190621</v>
      </c>
      <c r="U204" s="239">
        <f t="shared" si="85"/>
        <v>-670682.75556428393</v>
      </c>
    </row>
    <row r="205" spans="2:21" x14ac:dyDescent="0.25">
      <c r="B205" s="29">
        <v>2036</v>
      </c>
      <c r="C205" s="30">
        <f t="shared" si="98"/>
        <v>135041034.53896219</v>
      </c>
      <c r="D205" s="30">
        <f t="shared" si="99"/>
        <v>139910276.98842394</v>
      </c>
      <c r="E205" s="31">
        <f t="shared" si="86"/>
        <v>-4869242.4494617581</v>
      </c>
      <c r="G205" s="29">
        <v>2036</v>
      </c>
      <c r="H205" s="241">
        <f t="shared" si="97"/>
        <v>-4.8692424494617583</v>
      </c>
      <c r="I205" s="242">
        <f t="shared" si="87"/>
        <v>7.2301334818426289E-3</v>
      </c>
      <c r="J205" s="242">
        <f t="shared" si="88"/>
        <v>3.9296117688911836E-2</v>
      </c>
      <c r="K205" s="242">
        <f t="shared" si="89"/>
        <v>7.0895736175053306E-2</v>
      </c>
      <c r="L205" s="242">
        <f t="shared" si="90"/>
        <v>0.13366381133571345</v>
      </c>
      <c r="M205" s="243">
        <f t="shared" si="91"/>
        <v>0.6001593648053889</v>
      </c>
      <c r="O205" s="238">
        <v>2036</v>
      </c>
      <c r="P205" s="244">
        <f t="shared" si="92"/>
        <v>-374271.44678545481</v>
      </c>
      <c r="Q205" s="245">
        <f t="shared" si="93"/>
        <v>-109893.71213536008</v>
      </c>
      <c r="R205" s="245">
        <f t="shared" si="94"/>
        <v>-78199.368055819781</v>
      </c>
      <c r="S205" s="245">
        <f t="shared" si="95"/>
        <v>-89149.542498724317</v>
      </c>
      <c r="T205" s="246">
        <f t="shared" si="96"/>
        <v>-22490.536600505977</v>
      </c>
      <c r="U205" s="239">
        <f t="shared" si="85"/>
        <v>-674004.60607586487</v>
      </c>
    </row>
    <row r="206" spans="2:21" x14ac:dyDescent="0.25">
      <c r="B206" s="29">
        <v>2037</v>
      </c>
      <c r="C206" s="30">
        <f t="shared" si="98"/>
        <v>135940784.4333531</v>
      </c>
      <c r="D206" s="30">
        <f t="shared" si="99"/>
        <v>140834025.08012083</v>
      </c>
      <c r="E206" s="31">
        <f t="shared" si="86"/>
        <v>-4893240.6467677355</v>
      </c>
      <c r="G206" s="29">
        <v>2037</v>
      </c>
      <c r="H206" s="241">
        <f t="shared" si="97"/>
        <v>-4.8932406467677358</v>
      </c>
      <c r="I206" s="242">
        <f t="shared" si="87"/>
        <v>7.2301334818426289E-3</v>
      </c>
      <c r="J206" s="242">
        <f t="shared" si="88"/>
        <v>3.9296117688911836E-2</v>
      </c>
      <c r="K206" s="242">
        <f t="shared" si="89"/>
        <v>7.0895736175053306E-2</v>
      </c>
      <c r="L206" s="242">
        <f t="shared" si="90"/>
        <v>0.13366381133571345</v>
      </c>
      <c r="M206" s="243">
        <f t="shared" si="91"/>
        <v>0.6001593648053889</v>
      </c>
      <c r="O206" s="238">
        <v>2037</v>
      </c>
      <c r="P206" s="244">
        <f t="shared" si="92"/>
        <v>-376116.05405633408</v>
      </c>
      <c r="Q206" s="245">
        <f t="shared" si="93"/>
        <v>-110435.32636260033</v>
      </c>
      <c r="R206" s="245">
        <f t="shared" si="94"/>
        <v>-78584.775823718825</v>
      </c>
      <c r="S206" s="245">
        <f t="shared" si="95"/>
        <v>-89588.918506969407</v>
      </c>
      <c r="T206" s="246">
        <f t="shared" si="96"/>
        <v>-22601.381837821264</v>
      </c>
      <c r="U206" s="239">
        <f t="shared" si="85"/>
        <v>-677326.45658744394</v>
      </c>
    </row>
    <row r="207" spans="2:21" x14ac:dyDescent="0.25">
      <c r="B207" s="29">
        <v>2038</v>
      </c>
      <c r="C207" s="30">
        <f t="shared" si="98"/>
        <v>136840534.32774401</v>
      </c>
      <c r="D207" s="30">
        <f t="shared" si="99"/>
        <v>141757773.17181772</v>
      </c>
      <c r="E207" s="31">
        <f t="shared" si="86"/>
        <v>-4917238.8440737128</v>
      </c>
      <c r="G207" s="29">
        <v>2038</v>
      </c>
      <c r="H207" s="241">
        <f t="shared" si="97"/>
        <v>-4.9172388440737125</v>
      </c>
      <c r="I207" s="242">
        <f t="shared" si="87"/>
        <v>7.2301334818426289E-3</v>
      </c>
      <c r="J207" s="242">
        <f t="shared" si="88"/>
        <v>3.9296117688911836E-2</v>
      </c>
      <c r="K207" s="242">
        <f t="shared" si="89"/>
        <v>7.0895736175053306E-2</v>
      </c>
      <c r="L207" s="242">
        <f t="shared" si="90"/>
        <v>0.13366381133571345</v>
      </c>
      <c r="M207" s="243">
        <f t="shared" si="91"/>
        <v>0.6001593648053889</v>
      </c>
      <c r="O207" s="238">
        <v>2038</v>
      </c>
      <c r="P207" s="244">
        <f t="shared" si="92"/>
        <v>-377960.66132721328</v>
      </c>
      <c r="Q207" s="245">
        <f t="shared" si="93"/>
        <v>-110976.94058984055</v>
      </c>
      <c r="R207" s="245">
        <f t="shared" si="94"/>
        <v>-78970.183591617853</v>
      </c>
      <c r="S207" s="245">
        <f t="shared" si="95"/>
        <v>-90028.294515214468</v>
      </c>
      <c r="T207" s="246">
        <f t="shared" si="96"/>
        <v>-22712.227075136543</v>
      </c>
      <c r="U207" s="239">
        <f t="shared" si="85"/>
        <v>-680648.30709902267</v>
      </c>
    </row>
    <row r="208" spans="2:21" x14ac:dyDescent="0.25">
      <c r="B208" s="29">
        <v>2039</v>
      </c>
      <c r="C208" s="30">
        <f t="shared" si="98"/>
        <v>137740284.22213492</v>
      </c>
      <c r="D208" s="30">
        <f t="shared" si="99"/>
        <v>142681521.26351461</v>
      </c>
      <c r="E208" s="31">
        <f t="shared" si="86"/>
        <v>-4941237.0413796902</v>
      </c>
      <c r="G208" s="29">
        <v>2039</v>
      </c>
      <c r="H208" s="241">
        <f t="shared" si="97"/>
        <v>-4.94123704137969</v>
      </c>
      <c r="I208" s="242">
        <f t="shared" si="87"/>
        <v>7.2301334818426289E-3</v>
      </c>
      <c r="J208" s="242">
        <f t="shared" si="88"/>
        <v>3.9296117688911836E-2</v>
      </c>
      <c r="K208" s="242">
        <f t="shared" si="89"/>
        <v>7.0895736175053306E-2</v>
      </c>
      <c r="L208" s="242">
        <f t="shared" si="90"/>
        <v>0.13366381133571345</v>
      </c>
      <c r="M208" s="243">
        <f t="shared" si="91"/>
        <v>0.6001593648053889</v>
      </c>
      <c r="O208" s="238">
        <v>2039</v>
      </c>
      <c r="P208" s="244">
        <f t="shared" si="92"/>
        <v>-379805.26859809255</v>
      </c>
      <c r="Q208" s="245">
        <f t="shared" si="93"/>
        <v>-111518.55481708082</v>
      </c>
      <c r="R208" s="245">
        <f t="shared" si="94"/>
        <v>-79355.591359516897</v>
      </c>
      <c r="S208" s="245">
        <f t="shared" si="95"/>
        <v>-90467.670523459557</v>
      </c>
      <c r="T208" s="246">
        <f t="shared" si="96"/>
        <v>-22823.07231245183</v>
      </c>
      <c r="U208" s="239">
        <f t="shared" si="85"/>
        <v>-683970.15761060163</v>
      </c>
    </row>
    <row r="209" spans="2:40" x14ac:dyDescent="0.25">
      <c r="B209" s="29">
        <v>2040</v>
      </c>
      <c r="C209" s="30">
        <f t="shared" si="98"/>
        <v>138640034.11652583</v>
      </c>
      <c r="D209" s="30">
        <f t="shared" si="99"/>
        <v>143605269.3552115</v>
      </c>
      <c r="E209" s="31">
        <f t="shared" si="86"/>
        <v>-4965235.2386856675</v>
      </c>
      <c r="G209" s="29">
        <v>2040</v>
      </c>
      <c r="H209" s="241">
        <f t="shared" si="97"/>
        <v>-4.9652352386856675</v>
      </c>
      <c r="I209" s="242">
        <f t="shared" si="87"/>
        <v>7.2301334818426289E-3</v>
      </c>
      <c r="J209" s="242">
        <f t="shared" si="88"/>
        <v>3.9296117688911836E-2</v>
      </c>
      <c r="K209" s="242">
        <f t="shared" si="89"/>
        <v>7.0895736175053306E-2</v>
      </c>
      <c r="L209" s="242">
        <f t="shared" si="90"/>
        <v>0.13366381133571345</v>
      </c>
      <c r="M209" s="243">
        <f t="shared" si="91"/>
        <v>0.6001593648053889</v>
      </c>
      <c r="O209" s="238">
        <v>2040</v>
      </c>
      <c r="P209" s="244">
        <f t="shared" si="92"/>
        <v>-381649.87586897175</v>
      </c>
      <c r="Q209" s="245">
        <f t="shared" si="93"/>
        <v>-112060.16904432107</v>
      </c>
      <c r="R209" s="245">
        <f t="shared" si="94"/>
        <v>-79740.99912741594</v>
      </c>
      <c r="S209" s="245">
        <f t="shared" si="95"/>
        <v>-90907.046531704618</v>
      </c>
      <c r="T209" s="246">
        <f t="shared" si="96"/>
        <v>-22933.917549767113</v>
      </c>
      <c r="U209" s="239">
        <f t="shared" si="85"/>
        <v>-687292.00812218047</v>
      </c>
    </row>
    <row r="210" spans="2:40" ht="17.25" thickBot="1" x14ac:dyDescent="0.3">
      <c r="B210" s="71">
        <v>2041</v>
      </c>
      <c r="C210" s="33">
        <f>SUM(Traffic!S24:S26,Traffic!S49:S54)*365</f>
        <v>139539784.0109168</v>
      </c>
      <c r="D210" s="33">
        <f>SUM(Traffic!AF24:AF26,Traffic!AF49:AF54)*365</f>
        <v>144529017.44690847</v>
      </c>
      <c r="E210" s="34">
        <f t="shared" si="86"/>
        <v>-4989233.4359916747</v>
      </c>
      <c r="G210" s="71">
        <v>2041</v>
      </c>
      <c r="H210" s="259">
        <f t="shared" si="97"/>
        <v>-4.9892334359916743</v>
      </c>
      <c r="I210" s="247">
        <f t="shared" si="87"/>
        <v>7.2301334818426289E-3</v>
      </c>
      <c r="J210" s="247">
        <f t="shared" si="88"/>
        <v>3.9296117688911836E-2</v>
      </c>
      <c r="K210" s="247">
        <f t="shared" si="89"/>
        <v>7.0895736175053306E-2</v>
      </c>
      <c r="L210" s="247">
        <f t="shared" si="90"/>
        <v>0.13366381133571345</v>
      </c>
      <c r="M210" s="248">
        <f t="shared" si="91"/>
        <v>0.6001593648053889</v>
      </c>
      <c r="O210" s="249">
        <v>2041</v>
      </c>
      <c r="P210" s="250">
        <f t="shared" si="92"/>
        <v>-383494.48313985328</v>
      </c>
      <c r="Q210" s="251">
        <f t="shared" si="93"/>
        <v>-112601.78327156199</v>
      </c>
      <c r="R210" s="251">
        <f t="shared" si="94"/>
        <v>-80126.406895315449</v>
      </c>
      <c r="S210" s="251">
        <f t="shared" si="95"/>
        <v>-91346.422539950247</v>
      </c>
      <c r="T210" s="252">
        <f t="shared" si="96"/>
        <v>-23044.762787082538</v>
      </c>
      <c r="U210" s="253">
        <f t="shared" si="85"/>
        <v>-690613.85863376362</v>
      </c>
    </row>
    <row r="211" spans="2:40" ht="16.5" customHeight="1" x14ac:dyDescent="0.25">
      <c r="G211" s="41"/>
      <c r="H211" s="41"/>
      <c r="I211" s="41"/>
      <c r="J211" s="41"/>
      <c r="K211" s="41"/>
      <c r="L211" s="41"/>
      <c r="M211" s="41"/>
      <c r="P211" s="223"/>
      <c r="S211" s="51"/>
      <c r="T211" s="223"/>
      <c r="V211" s="311"/>
      <c r="W211" s="311"/>
      <c r="X211" s="311"/>
      <c r="Y211" s="311"/>
      <c r="Z211" s="311"/>
    </row>
    <row r="212" spans="2:40" ht="16.5" customHeight="1" x14ac:dyDescent="0.25">
      <c r="G212" s="41"/>
      <c r="H212" s="41"/>
      <c r="I212" s="41"/>
      <c r="J212" s="41"/>
      <c r="K212" s="41"/>
      <c r="L212" s="41"/>
      <c r="M212" s="41"/>
      <c r="P212" s="223"/>
      <c r="S212" s="51"/>
      <c r="T212" s="223"/>
      <c r="V212" s="311"/>
      <c r="W212" s="311"/>
      <c r="X212" s="311"/>
      <c r="Y212" s="311"/>
      <c r="Z212" s="311"/>
    </row>
    <row r="213" spans="2:40" ht="15" customHeight="1" thickBot="1" x14ac:dyDescent="0.3">
      <c r="G213" s="147" t="s">
        <v>260</v>
      </c>
      <c r="H213" s="147"/>
      <c r="I213" s="147"/>
      <c r="J213" s="147"/>
      <c r="K213" s="147"/>
      <c r="L213" s="147"/>
      <c r="M213" s="147"/>
      <c r="N213" s="147"/>
      <c r="O213" s="147"/>
      <c r="Q213" s="147" t="s">
        <v>261</v>
      </c>
      <c r="R213" s="147"/>
      <c r="S213" s="147"/>
      <c r="T213" s="147"/>
      <c r="U213" s="147"/>
      <c r="V213" s="147"/>
      <c r="W213" s="147"/>
      <c r="X213" s="147"/>
      <c r="Y213" s="147"/>
      <c r="Z213" s="147"/>
      <c r="AE213" s="2"/>
      <c r="AF213" s="2"/>
      <c r="AG213" s="2"/>
      <c r="AH213" s="2"/>
      <c r="AI213" s="2"/>
    </row>
    <row r="214" spans="2:40" s="2" customFormat="1" ht="132.75" thickBot="1" x14ac:dyDescent="0.3">
      <c r="B214" s="51"/>
      <c r="C214" s="51"/>
      <c r="D214" s="51"/>
      <c r="E214" s="51"/>
      <c r="G214" s="24" t="s">
        <v>36</v>
      </c>
      <c r="H214" s="26" t="s">
        <v>61</v>
      </c>
      <c r="I214" s="26" t="s">
        <v>63</v>
      </c>
      <c r="J214" s="26" t="s">
        <v>62</v>
      </c>
      <c r="K214" s="26" t="s">
        <v>28</v>
      </c>
      <c r="L214" s="26" t="s">
        <v>32</v>
      </c>
      <c r="M214" s="26" t="s">
        <v>33</v>
      </c>
      <c r="N214" s="26" t="s">
        <v>29</v>
      </c>
      <c r="O214" s="27" t="s">
        <v>30</v>
      </c>
      <c r="P214" s="260"/>
      <c r="Q214" s="24" t="s">
        <v>36</v>
      </c>
      <c r="R214" s="26" t="s">
        <v>75</v>
      </c>
      <c r="S214" s="26" t="s">
        <v>74</v>
      </c>
      <c r="T214" s="26" t="s">
        <v>76</v>
      </c>
      <c r="U214" s="26" t="s">
        <v>77</v>
      </c>
      <c r="V214" s="26" t="s">
        <v>28</v>
      </c>
      <c r="W214" s="26" t="s">
        <v>32</v>
      </c>
      <c r="X214" s="26" t="s">
        <v>33</v>
      </c>
      <c r="Y214" s="26" t="s">
        <v>29</v>
      </c>
      <c r="Z214" s="27" t="s">
        <v>30</v>
      </c>
      <c r="AH214" s="51"/>
      <c r="AI214" s="51"/>
      <c r="AJ214" s="51"/>
      <c r="AK214" s="51"/>
      <c r="AL214" s="51"/>
      <c r="AM214" s="51"/>
      <c r="AN214" s="51"/>
    </row>
    <row r="215" spans="2:40" ht="14.45" customHeight="1" x14ac:dyDescent="0.25">
      <c r="B215" s="2"/>
      <c r="C215" s="2"/>
      <c r="D215" s="2"/>
      <c r="E215" s="2"/>
      <c r="G215" s="70" t="s">
        <v>21</v>
      </c>
      <c r="H215" s="262">
        <v>2.6021943707136383E-2</v>
      </c>
      <c r="I215" s="263">
        <f>H215*$AD$227</f>
        <v>1.9516457780352287E-2</v>
      </c>
      <c r="J215" s="262">
        <v>6.3473223650552749E-3</v>
      </c>
      <c r="K215" s="264">
        <v>9600000</v>
      </c>
      <c r="L215" s="264">
        <f>K215*(L226-1)</f>
        <v>895981.1161232309</v>
      </c>
      <c r="M215" s="264">
        <f>K220*M226</f>
        <v>137441.89510329496</v>
      </c>
      <c r="N215" s="264">
        <v>0</v>
      </c>
      <c r="O215" s="265">
        <f>SUM(K215:N215)</f>
        <v>10633423.011226526</v>
      </c>
      <c r="Q215" s="70" t="s">
        <v>21</v>
      </c>
      <c r="R215" s="262">
        <v>1.6574972597899269E-2</v>
      </c>
      <c r="S215" s="266">
        <v>1.2176280096176615E-2</v>
      </c>
      <c r="T215" s="266">
        <v>8.4458685675227029E-3</v>
      </c>
      <c r="U215" s="262">
        <v>7.2301334818426289E-3</v>
      </c>
      <c r="V215" s="264">
        <v>9600000</v>
      </c>
      <c r="W215" s="264">
        <f>V215*(W226-1)</f>
        <v>895981.1161232309</v>
      </c>
      <c r="X215" s="264">
        <f>V220*X226</f>
        <v>135137.92732197943</v>
      </c>
      <c r="Y215" s="264">
        <v>0</v>
      </c>
      <c r="Z215" s="265">
        <f>SUM(V215:Y215)</f>
        <v>10631119.043445211</v>
      </c>
      <c r="AA215" s="2"/>
      <c r="AB215" s="2"/>
      <c r="AC215" s="2"/>
      <c r="AD215" s="2"/>
      <c r="AE215" s="2"/>
      <c r="AF215" s="2"/>
      <c r="AG215" s="2"/>
    </row>
    <row r="216" spans="2:40" ht="14.45" customHeight="1" x14ac:dyDescent="0.25">
      <c r="G216" s="29" t="s">
        <v>22</v>
      </c>
      <c r="H216" s="267">
        <v>0.12292813760924197</v>
      </c>
      <c r="I216" s="268">
        <f t="shared" ref="I216:I219" si="100">H216*$AD$227</f>
        <v>9.2196103206931473E-2</v>
      </c>
      <c r="J216" s="267">
        <v>2.9286970528884439E-2</v>
      </c>
      <c r="K216" s="269">
        <v>459100</v>
      </c>
      <c r="L216" s="269">
        <v>0</v>
      </c>
      <c r="M216" s="269">
        <f>$K$220*(M227-1)</f>
        <v>108857.17965241986</v>
      </c>
      <c r="N216" s="269">
        <v>0</v>
      </c>
      <c r="O216" s="270">
        <f>SUM(K216:N216)</f>
        <v>567957.17965241987</v>
      </c>
      <c r="Q216" s="29" t="s">
        <v>22</v>
      </c>
      <c r="R216" s="267">
        <v>9.6676616120673631E-2</v>
      </c>
      <c r="S216" s="271">
        <v>8.3486545895154182E-2</v>
      </c>
      <c r="T216" s="271">
        <v>5.6598769011509689E-2</v>
      </c>
      <c r="U216" s="267">
        <v>3.9296117688911836E-2</v>
      </c>
      <c r="V216" s="269">
        <v>459100</v>
      </c>
      <c r="W216" s="269">
        <v>0</v>
      </c>
      <c r="X216" s="269">
        <f>$K$220*(X227-1)</f>
        <v>115230.39192314289</v>
      </c>
      <c r="Y216" s="269">
        <v>0</v>
      </c>
      <c r="Z216" s="270">
        <f>SUM(V216:Y216)</f>
        <v>574330.39192314283</v>
      </c>
      <c r="AA216" s="2"/>
      <c r="AB216" s="2"/>
      <c r="AC216" s="2"/>
      <c r="AD216" s="2"/>
      <c r="AE216" s="2"/>
      <c r="AF216" s="2"/>
      <c r="AG216" s="2"/>
    </row>
    <row r="217" spans="2:40" ht="14.45" customHeight="1" x14ac:dyDescent="0.25">
      <c r="G217" s="29" t="s">
        <v>23</v>
      </c>
      <c r="H217" s="267">
        <v>0.7893054466212196</v>
      </c>
      <c r="I217" s="268">
        <f t="shared" si="100"/>
        <v>0.59197908496591467</v>
      </c>
      <c r="J217" s="267">
        <v>0.33405545382989976</v>
      </c>
      <c r="K217" s="269">
        <v>125000</v>
      </c>
      <c r="L217" s="269">
        <v>0</v>
      </c>
      <c r="M217" s="269">
        <f>$K$220*(M228-1)</f>
        <v>82917.469127659046</v>
      </c>
      <c r="N217" s="269">
        <v>0</v>
      </c>
      <c r="O217" s="270">
        <f>SUM(K217:N217)</f>
        <v>207917.46912765905</v>
      </c>
      <c r="Q217" s="29" t="s">
        <v>23</v>
      </c>
      <c r="R217" s="267">
        <v>0.21994462517172542</v>
      </c>
      <c r="S217" s="271">
        <v>0.37508898363571225</v>
      </c>
      <c r="T217" s="271">
        <v>0.37216751233245066</v>
      </c>
      <c r="U217" s="267">
        <v>7.0895736175053306E-2</v>
      </c>
      <c r="V217" s="269">
        <v>125000</v>
      </c>
      <c r="W217" s="269">
        <v>0</v>
      </c>
      <c r="X217" s="269">
        <f>$K$220*(X228-1)</f>
        <v>101527.91486106107</v>
      </c>
      <c r="Y217" s="269">
        <v>0</v>
      </c>
      <c r="Z217" s="270">
        <f>SUM(V217:Y217)</f>
        <v>226527.91486106109</v>
      </c>
      <c r="AA217" s="2"/>
      <c r="AB217" s="2"/>
      <c r="AC217" s="2"/>
      <c r="AD217" s="2"/>
      <c r="AE217" s="2"/>
      <c r="AF217" s="2"/>
      <c r="AG217" s="2"/>
    </row>
    <row r="218" spans="2:40" ht="14.45" customHeight="1" x14ac:dyDescent="0.25">
      <c r="G218" s="29" t="s">
        <v>24</v>
      </c>
      <c r="H218" s="267">
        <v>0.85768586897701837</v>
      </c>
      <c r="I218" s="268">
        <f t="shared" si="100"/>
        <v>0.64326440173276378</v>
      </c>
      <c r="J218" s="267">
        <v>0.36299590156268818</v>
      </c>
      <c r="K218" s="269">
        <v>63900</v>
      </c>
      <c r="L218" s="269">
        <v>0</v>
      </c>
      <c r="M218" s="269">
        <f>$K$220*(M229-1)</f>
        <v>68471.131768608815</v>
      </c>
      <c r="N218" s="269">
        <v>0</v>
      </c>
      <c r="O218" s="270">
        <f>SUM(K218:N218)</f>
        <v>132371.13176860882</v>
      </c>
      <c r="Q218" s="29" t="s">
        <v>24</v>
      </c>
      <c r="R218" s="267">
        <v>0.41467425926246981</v>
      </c>
      <c r="S218" s="271">
        <v>0.70717684655949831</v>
      </c>
      <c r="T218" s="271">
        <v>0.70166882858592572</v>
      </c>
      <c r="U218" s="267">
        <v>0.13366381133571345</v>
      </c>
      <c r="V218" s="269">
        <v>63900</v>
      </c>
      <c r="W218" s="269">
        <v>0</v>
      </c>
      <c r="X218" s="269">
        <f>$K$220*(X229-1)</f>
        <v>73075.810447525844</v>
      </c>
      <c r="Y218" s="269">
        <v>0</v>
      </c>
      <c r="Z218" s="270">
        <f>SUM(V218:Y218)</f>
        <v>136975.81044752584</v>
      </c>
      <c r="AA218" s="2"/>
      <c r="AB218" s="2"/>
      <c r="AC218" s="2"/>
      <c r="AD218" s="2"/>
      <c r="AE218" s="2"/>
      <c r="AF218" s="2"/>
      <c r="AG218" s="2"/>
      <c r="AH218" s="2"/>
      <c r="AI218" s="2"/>
    </row>
    <row r="219" spans="2:40" ht="14.45" customHeight="1" x14ac:dyDescent="0.25">
      <c r="G219" s="29" t="s">
        <v>25</v>
      </c>
      <c r="H219" s="267">
        <v>3.2373245669588142</v>
      </c>
      <c r="I219" s="268">
        <f t="shared" si="100"/>
        <v>2.4279934252191104</v>
      </c>
      <c r="J219" s="267">
        <v>1.3701234826637225</v>
      </c>
      <c r="K219" s="269">
        <v>4252</v>
      </c>
      <c r="L219" s="269">
        <v>0</v>
      </c>
      <c r="M219" s="269">
        <v>0</v>
      </c>
      <c r="N219" s="269">
        <f>K219*(N230-1)</f>
        <v>2301.4212895568689</v>
      </c>
      <c r="O219" s="270">
        <f>SUM(K219:N219)</f>
        <v>6553.4212895568689</v>
      </c>
      <c r="Q219" s="29" t="s">
        <v>25</v>
      </c>
      <c r="R219" s="267">
        <v>1.8619148859599639</v>
      </c>
      <c r="S219" s="271">
        <v>3.1752708739558932</v>
      </c>
      <c r="T219" s="271">
        <v>3.1505395084851502</v>
      </c>
      <c r="U219" s="267">
        <v>0.6001593648053889</v>
      </c>
      <c r="V219" s="269">
        <v>4252</v>
      </c>
      <c r="W219" s="269">
        <v>0</v>
      </c>
      <c r="X219" s="269">
        <v>0</v>
      </c>
      <c r="Y219" s="269">
        <f>V219*(Y230-1)</f>
        <v>3444.1200000000003</v>
      </c>
      <c r="Z219" s="270">
        <f>SUM(V219:Y219)</f>
        <v>7696.1200000000008</v>
      </c>
      <c r="AA219" s="2"/>
      <c r="AB219" s="2"/>
      <c r="AC219" s="2"/>
      <c r="AD219" s="2"/>
      <c r="AE219" s="2"/>
      <c r="AF219" s="2"/>
      <c r="AG219" s="2"/>
    </row>
    <row r="220" spans="2:40" s="2" customFormat="1" ht="43.5" customHeight="1" thickBot="1" x14ac:dyDescent="0.3">
      <c r="B220" s="51"/>
      <c r="C220" s="51"/>
      <c r="D220" s="51"/>
      <c r="E220" s="51"/>
      <c r="G220" s="272" t="s">
        <v>26</v>
      </c>
      <c r="H220" s="38" t="s">
        <v>4</v>
      </c>
      <c r="I220" s="38" t="s">
        <v>4</v>
      </c>
      <c r="J220" s="38" t="s">
        <v>4</v>
      </c>
      <c r="K220" s="39">
        <v>174000</v>
      </c>
      <c r="L220" s="38" t="s">
        <v>4</v>
      </c>
      <c r="M220" s="38" t="s">
        <v>4</v>
      </c>
      <c r="N220" s="38" t="s">
        <v>4</v>
      </c>
      <c r="O220" s="40" t="s">
        <v>4</v>
      </c>
      <c r="Q220" s="272" t="s">
        <v>26</v>
      </c>
      <c r="R220" s="38" t="s">
        <v>4</v>
      </c>
      <c r="S220" s="38" t="s">
        <v>4</v>
      </c>
      <c r="T220" s="38" t="s">
        <v>4</v>
      </c>
      <c r="U220" s="38" t="s">
        <v>4</v>
      </c>
      <c r="V220" s="39">
        <v>174000</v>
      </c>
      <c r="W220" s="38" t="s">
        <v>4</v>
      </c>
      <c r="X220" s="38" t="s">
        <v>4</v>
      </c>
      <c r="Y220" s="38" t="s">
        <v>4</v>
      </c>
      <c r="Z220" s="40" t="s">
        <v>4</v>
      </c>
      <c r="AH220" s="51"/>
      <c r="AI220" s="51"/>
      <c r="AJ220" s="51"/>
      <c r="AK220" s="51"/>
      <c r="AL220" s="51"/>
      <c r="AM220" s="51"/>
      <c r="AN220" s="51"/>
    </row>
    <row r="221" spans="2:40" ht="14.45" customHeight="1" x14ac:dyDescent="0.25">
      <c r="B221" s="2"/>
      <c r="C221" s="2"/>
      <c r="D221" s="2"/>
      <c r="E221" s="2"/>
      <c r="G221" s="273" t="s">
        <v>35</v>
      </c>
      <c r="H221" s="273"/>
      <c r="I221" s="273"/>
      <c r="J221" s="273"/>
      <c r="K221" s="273"/>
      <c r="L221" s="273"/>
      <c r="M221" s="273"/>
      <c r="O221" s="2"/>
      <c r="P221" s="2"/>
      <c r="Q221" s="2"/>
      <c r="R221" s="2"/>
      <c r="S221" s="2"/>
      <c r="T221" s="2"/>
      <c r="U221" s="2"/>
      <c r="V221" s="2"/>
      <c r="W221" s="2"/>
      <c r="X221" s="2"/>
      <c r="Y221" s="2"/>
      <c r="Z221" s="2"/>
      <c r="AA221" s="2"/>
      <c r="AB221" s="2"/>
      <c r="AC221" s="2"/>
      <c r="AD221" s="2"/>
      <c r="AE221" s="2"/>
    </row>
    <row r="222" spans="2:40" ht="14.45" customHeight="1" x14ac:dyDescent="0.25">
      <c r="O222" s="2"/>
      <c r="P222" s="2"/>
      <c r="Q222" s="2"/>
      <c r="R222" s="2"/>
      <c r="S222" s="2"/>
      <c r="T222" s="2"/>
      <c r="U222" s="2"/>
      <c r="V222" s="2"/>
      <c r="W222" s="2"/>
      <c r="X222" s="2"/>
      <c r="Y222" s="2"/>
      <c r="Z222" s="2"/>
      <c r="AA222" s="2"/>
      <c r="AB222" s="2"/>
      <c r="AC222" s="2"/>
      <c r="AD222" s="2"/>
      <c r="AE222" s="2"/>
    </row>
    <row r="223" spans="2:40" ht="14.45" customHeight="1" x14ac:dyDescent="0.25">
      <c r="H223" s="274"/>
      <c r="O223" s="2"/>
      <c r="P223" s="2"/>
      <c r="Q223" s="2"/>
      <c r="R223" s="2"/>
      <c r="S223" s="2"/>
      <c r="T223" s="2"/>
      <c r="U223" s="2"/>
      <c r="V223" s="2"/>
      <c r="W223" s="2"/>
      <c r="X223" s="2"/>
      <c r="Y223" s="2"/>
      <c r="Z223" s="2"/>
      <c r="AA223" s="2"/>
      <c r="AB223" s="2"/>
      <c r="AC223" s="2"/>
      <c r="AD223" s="2"/>
      <c r="AE223" s="2"/>
    </row>
    <row r="224" spans="2:40" s="314" customFormat="1" ht="30" customHeight="1" thickBot="1" x14ac:dyDescent="0.3">
      <c r="H224" s="345"/>
      <c r="L224" s="186" t="s">
        <v>262</v>
      </c>
      <c r="M224" s="186"/>
      <c r="N224" s="186"/>
      <c r="W224" s="186" t="s">
        <v>263</v>
      </c>
      <c r="X224" s="186"/>
      <c r="Y224" s="186"/>
    </row>
    <row r="225" spans="10:39" ht="99.75" thickBot="1" x14ac:dyDescent="0.35">
      <c r="L225" s="24" t="s">
        <v>31</v>
      </c>
      <c r="M225" s="26" t="s">
        <v>34</v>
      </c>
      <c r="N225" s="27" t="s">
        <v>27</v>
      </c>
      <c r="P225" s="2"/>
      <c r="Q225" s="2"/>
      <c r="R225" s="2"/>
      <c r="S225" s="2"/>
      <c r="T225" s="2"/>
      <c r="U225" s="2"/>
      <c r="W225" s="24" t="s">
        <v>31</v>
      </c>
      <c r="X225" s="26" t="s">
        <v>34</v>
      </c>
      <c r="Y225" s="27" t="s">
        <v>27</v>
      </c>
      <c r="Z225" s="2"/>
      <c r="AA225" s="182" t="s">
        <v>264</v>
      </c>
      <c r="AB225" s="182"/>
      <c r="AC225" s="182"/>
      <c r="AD225" s="182"/>
      <c r="AE225" s="182"/>
      <c r="AF225" s="182"/>
      <c r="AG225" s="182"/>
      <c r="AH225" s="182"/>
      <c r="AI225" s="182"/>
      <c r="AJ225" s="182"/>
      <c r="AK225" s="182"/>
      <c r="AL225" s="182"/>
    </row>
    <row r="226" spans="10:39" ht="15" customHeight="1" thickBot="1" x14ac:dyDescent="0.3">
      <c r="L226" s="275">
        <v>1.0933313662628366</v>
      </c>
      <c r="M226" s="276">
        <v>0.78989594886951131</v>
      </c>
      <c r="N226" s="277">
        <v>0</v>
      </c>
      <c r="S226" s="51"/>
      <c r="W226" s="278">
        <v>1.0933313662628366</v>
      </c>
      <c r="X226" s="279">
        <v>0.77665475472401968</v>
      </c>
      <c r="Y226" s="280">
        <v>0</v>
      </c>
      <c r="AA226" s="126" t="s">
        <v>64</v>
      </c>
      <c r="AB226" s="127"/>
      <c r="AC226" s="127"/>
      <c r="AD226" s="72" t="s">
        <v>65</v>
      </c>
      <c r="AE226" s="72" t="s">
        <v>66</v>
      </c>
      <c r="AF226" s="72" t="s">
        <v>67</v>
      </c>
      <c r="AG226" s="127" t="s">
        <v>68</v>
      </c>
      <c r="AH226" s="127"/>
      <c r="AI226" s="127" t="s">
        <v>69</v>
      </c>
      <c r="AJ226" s="127"/>
      <c r="AK226" s="127"/>
      <c r="AL226" s="127"/>
      <c r="AM226" s="281"/>
    </row>
    <row r="227" spans="10:39" ht="15" customHeight="1" thickBot="1" x14ac:dyDescent="0.3">
      <c r="L227" s="282">
        <v>0</v>
      </c>
      <c r="M227" s="283">
        <v>1.6256159750139072</v>
      </c>
      <c r="N227" s="284">
        <v>0</v>
      </c>
      <c r="S227" s="51"/>
      <c r="W227" s="285">
        <v>0</v>
      </c>
      <c r="X227" s="286">
        <v>1.6622436317422005</v>
      </c>
      <c r="Y227" s="287">
        <v>0</v>
      </c>
      <c r="AA227" s="288" t="s">
        <v>71</v>
      </c>
      <c r="AB227" s="289"/>
      <c r="AC227" s="289"/>
      <c r="AD227" s="290">
        <v>0.75</v>
      </c>
      <c r="AE227" s="290" t="s">
        <v>70</v>
      </c>
      <c r="AF227" s="290" t="s">
        <v>70</v>
      </c>
      <c r="AG227" s="289" t="s">
        <v>72</v>
      </c>
      <c r="AH227" s="289"/>
      <c r="AI227" s="291" t="s">
        <v>73</v>
      </c>
      <c r="AJ227" s="292"/>
      <c r="AK227" s="292"/>
      <c r="AL227" s="292"/>
      <c r="AM227" s="293"/>
    </row>
    <row r="228" spans="10:39" ht="15" customHeight="1" x14ac:dyDescent="0.25">
      <c r="L228" s="282">
        <v>0</v>
      </c>
      <c r="M228" s="283">
        <v>1.4765371788945922</v>
      </c>
      <c r="N228" s="284">
        <v>0</v>
      </c>
      <c r="S228" s="51"/>
      <c r="W228" s="285">
        <v>0</v>
      </c>
      <c r="X228" s="286">
        <v>1.5834937635693165</v>
      </c>
      <c r="Y228" s="287">
        <v>0</v>
      </c>
      <c r="AA228" s="294" t="s">
        <v>286</v>
      </c>
      <c r="AB228" s="294"/>
      <c r="AC228" s="294"/>
      <c r="AD228" s="294"/>
      <c r="AE228" s="294"/>
      <c r="AF228" s="294"/>
      <c r="AG228" s="294"/>
      <c r="AH228" s="294"/>
      <c r="AI228" s="294"/>
      <c r="AJ228" s="294"/>
      <c r="AK228" s="294"/>
      <c r="AL228" s="294"/>
      <c r="AM228" s="294"/>
    </row>
    <row r="229" spans="10:39" ht="13.9" customHeight="1" x14ac:dyDescent="0.25">
      <c r="L229" s="282">
        <v>0</v>
      </c>
      <c r="M229" s="283">
        <v>1.3935122515437288</v>
      </c>
      <c r="N229" s="284">
        <v>0</v>
      </c>
      <c r="S229" s="51"/>
      <c r="W229" s="285">
        <v>0</v>
      </c>
      <c r="X229" s="286">
        <v>1.4199759221122175</v>
      </c>
      <c r="Y229" s="287">
        <v>0</v>
      </c>
      <c r="AA229" s="295"/>
      <c r="AB229" s="295"/>
      <c r="AC229" s="295"/>
      <c r="AD229" s="295"/>
      <c r="AE229" s="295"/>
      <c r="AF229" s="295"/>
      <c r="AG229" s="295"/>
      <c r="AH229" s="295"/>
      <c r="AI229" s="295"/>
      <c r="AJ229" s="295"/>
      <c r="AK229" s="295"/>
      <c r="AL229" s="295"/>
      <c r="AM229" s="295"/>
    </row>
    <row r="230" spans="10:39" ht="17.25" thickBot="1" x14ac:dyDescent="0.3">
      <c r="L230" s="296">
        <v>0</v>
      </c>
      <c r="M230" s="297">
        <v>0</v>
      </c>
      <c r="N230" s="298">
        <v>1.5412561828685016</v>
      </c>
      <c r="S230" s="51"/>
      <c r="W230" s="285">
        <v>0</v>
      </c>
      <c r="X230" s="299">
        <v>0</v>
      </c>
      <c r="Y230" s="300">
        <v>1.81</v>
      </c>
      <c r="Z230" s="301"/>
      <c r="AA230" s="295"/>
      <c r="AB230" s="295"/>
      <c r="AC230" s="295"/>
      <c r="AD230" s="295"/>
      <c r="AE230" s="295"/>
      <c r="AF230" s="295"/>
      <c r="AG230" s="295"/>
      <c r="AH230" s="295"/>
      <c r="AI230" s="295"/>
      <c r="AJ230" s="295"/>
      <c r="AK230" s="295"/>
      <c r="AL230" s="295"/>
      <c r="AM230" s="295"/>
    </row>
    <row r="231" spans="10:39" ht="16.5" customHeight="1" x14ac:dyDescent="0.25">
      <c r="L231" s="294" t="s">
        <v>285</v>
      </c>
      <c r="M231" s="294"/>
      <c r="N231" s="294"/>
      <c r="S231" s="51"/>
      <c r="W231" s="312" t="s">
        <v>285</v>
      </c>
      <c r="X231" s="312"/>
      <c r="Y231" s="312"/>
      <c r="Z231" s="35"/>
    </row>
    <row r="232" spans="10:39" x14ac:dyDescent="0.25">
      <c r="J232" s="35"/>
      <c r="K232" s="35"/>
      <c r="L232" s="295"/>
      <c r="M232" s="295"/>
      <c r="N232" s="295"/>
      <c r="R232" s="35"/>
      <c r="S232" s="35"/>
      <c r="T232" s="35"/>
      <c r="W232" s="295"/>
      <c r="X232" s="295"/>
      <c r="Y232" s="295"/>
    </row>
    <row r="233" spans="10:39" x14ac:dyDescent="0.25">
      <c r="J233" s="35"/>
      <c r="K233" s="35"/>
      <c r="L233" s="295"/>
      <c r="M233" s="295"/>
      <c r="N233" s="295"/>
      <c r="R233" s="35"/>
      <c r="S233" s="35"/>
      <c r="T233" s="35"/>
      <c r="W233" s="295"/>
      <c r="X233" s="295"/>
      <c r="Y233" s="295"/>
    </row>
  </sheetData>
  <mergeCells count="134">
    <mergeCell ref="W2:X2"/>
    <mergeCell ref="AA228:AM230"/>
    <mergeCell ref="B30:E30"/>
    <mergeCell ref="G30:M30"/>
    <mergeCell ref="O30:U30"/>
    <mergeCell ref="W31:X32"/>
    <mergeCell ref="H186:M190"/>
    <mergeCell ref="P186:T190"/>
    <mergeCell ref="G183:M183"/>
    <mergeCell ref="O183:U183"/>
    <mergeCell ref="G184:G185"/>
    <mergeCell ref="H184:H185"/>
    <mergeCell ref="I184:M184"/>
    <mergeCell ref="O184:O185"/>
    <mergeCell ref="P184:T184"/>
    <mergeCell ref="U184:U185"/>
    <mergeCell ref="H156:M160"/>
    <mergeCell ref="P156:T160"/>
    <mergeCell ref="G153:M153"/>
    <mergeCell ref="O153:U153"/>
    <mergeCell ref="G154:G155"/>
    <mergeCell ref="H154:H155"/>
    <mergeCell ref="I154:M154"/>
    <mergeCell ref="O154:O155"/>
    <mergeCell ref="P154:T154"/>
    <mergeCell ref="U154:U155"/>
    <mergeCell ref="O93:U93"/>
    <mergeCell ref="G94:G95"/>
    <mergeCell ref="H94:H95"/>
    <mergeCell ref="I94:M94"/>
    <mergeCell ref="O94:O95"/>
    <mergeCell ref="P94:T94"/>
    <mergeCell ref="U94:U95"/>
    <mergeCell ref="H66:M70"/>
    <mergeCell ref="P66:T70"/>
    <mergeCell ref="O2:U2"/>
    <mergeCell ref="G33:M33"/>
    <mergeCell ref="O33:U33"/>
    <mergeCell ref="G34:G35"/>
    <mergeCell ref="H34:H35"/>
    <mergeCell ref="I34:M34"/>
    <mergeCell ref="O34:O35"/>
    <mergeCell ref="P34:T34"/>
    <mergeCell ref="U34:U35"/>
    <mergeCell ref="G2:M2"/>
    <mergeCell ref="AG227:AH227"/>
    <mergeCell ref="AI227:AM227"/>
    <mergeCell ref="AA227:AC227"/>
    <mergeCell ref="L231:N233"/>
    <mergeCell ref="W231:Y233"/>
    <mergeCell ref="U3:U4"/>
    <mergeCell ref="H36:M40"/>
    <mergeCell ref="P36:T40"/>
    <mergeCell ref="G63:M63"/>
    <mergeCell ref="O63:U63"/>
    <mergeCell ref="G64:G65"/>
    <mergeCell ref="H64:H65"/>
    <mergeCell ref="I64:M64"/>
    <mergeCell ref="O64:O65"/>
    <mergeCell ref="P64:T64"/>
    <mergeCell ref="U64:U65"/>
    <mergeCell ref="G213:O213"/>
    <mergeCell ref="Q213:Z213"/>
    <mergeCell ref="L224:N224"/>
    <mergeCell ref="W224:Y224"/>
    <mergeCell ref="H96:M100"/>
    <mergeCell ref="P96:T100"/>
    <mergeCell ref="G123:M123"/>
    <mergeCell ref="AA225:AL225"/>
    <mergeCell ref="AA226:AC226"/>
    <mergeCell ref="P3:T3"/>
    <mergeCell ref="I3:M3"/>
    <mergeCell ref="G3:G4"/>
    <mergeCell ref="H3:H4"/>
    <mergeCell ref="H5:M9"/>
    <mergeCell ref="G221:M221"/>
    <mergeCell ref="O3:O4"/>
    <mergeCell ref="P5:T9"/>
    <mergeCell ref="AI226:AM226"/>
    <mergeCell ref="AG226:AH226"/>
    <mergeCell ref="O123:U123"/>
    <mergeCell ref="G124:G125"/>
    <mergeCell ref="H124:H125"/>
    <mergeCell ref="I124:M124"/>
    <mergeCell ref="O124:O125"/>
    <mergeCell ref="P124:T124"/>
    <mergeCell ref="U124:U125"/>
    <mergeCell ref="H126:M130"/>
    <mergeCell ref="P126:T130"/>
    <mergeCell ref="W3:W4"/>
    <mergeCell ref="X3:X4"/>
    <mergeCell ref="G93:M93"/>
    <mergeCell ref="B3:B4"/>
    <mergeCell ref="C3:C4"/>
    <mergeCell ref="D3:D4"/>
    <mergeCell ref="B34:B35"/>
    <mergeCell ref="C34:C35"/>
    <mergeCell ref="D34:D35"/>
    <mergeCell ref="B2:E2"/>
    <mergeCell ref="C5:E9"/>
    <mergeCell ref="E3:E4"/>
    <mergeCell ref="C94:C95"/>
    <mergeCell ref="D94:D95"/>
    <mergeCell ref="E94:E95"/>
    <mergeCell ref="E34:E35"/>
    <mergeCell ref="C36:E40"/>
    <mergeCell ref="B64:B65"/>
    <mergeCell ref="C64:C65"/>
    <mergeCell ref="D64:D65"/>
    <mergeCell ref="E64:E65"/>
    <mergeCell ref="C186:E190"/>
    <mergeCell ref="B33:E33"/>
    <mergeCell ref="B63:E63"/>
    <mergeCell ref="B93:E93"/>
    <mergeCell ref="B123:E123"/>
    <mergeCell ref="B153:E153"/>
    <mergeCell ref="B183:E183"/>
    <mergeCell ref="C156:E160"/>
    <mergeCell ref="B184:B185"/>
    <mergeCell ref="C184:C185"/>
    <mergeCell ref="D184:D185"/>
    <mergeCell ref="E184:E185"/>
    <mergeCell ref="C126:E130"/>
    <mergeCell ref="B154:B155"/>
    <mergeCell ref="C154:C155"/>
    <mergeCell ref="D154:D155"/>
    <mergeCell ref="E154:E155"/>
    <mergeCell ref="C96:E100"/>
    <mergeCell ref="B124:B125"/>
    <mergeCell ref="C124:C125"/>
    <mergeCell ref="D124:D125"/>
    <mergeCell ref="E124:E125"/>
    <mergeCell ref="C66:E70"/>
    <mergeCell ref="B94:B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2:P44"/>
  <sheetViews>
    <sheetView workbookViewId="0">
      <selection activeCell="P9" sqref="P9"/>
    </sheetView>
  </sheetViews>
  <sheetFormatPr defaultColWidth="8.85546875" defaultRowHeight="16.5" x14ac:dyDescent="0.25"/>
  <cols>
    <col min="1" max="1" width="3.7109375" style="324" customWidth="1"/>
    <col min="2" max="17" width="12.7109375" style="324" customWidth="1"/>
    <col min="18" max="16384" width="8.85546875" style="324"/>
  </cols>
  <sheetData>
    <row r="2" spans="2:16" s="314" customFormat="1" ht="60" customHeight="1" thickBot="1" x14ac:dyDescent="0.3">
      <c r="B2" s="185" t="s">
        <v>268</v>
      </c>
      <c r="C2" s="185"/>
      <c r="D2" s="185"/>
      <c r="E2" s="185"/>
      <c r="G2" s="346" t="s">
        <v>269</v>
      </c>
      <c r="H2" s="346"/>
      <c r="I2" s="346"/>
      <c r="K2" s="346" t="s">
        <v>270</v>
      </c>
      <c r="L2" s="346"/>
      <c r="M2" s="346"/>
      <c r="O2" s="186" t="s">
        <v>272</v>
      </c>
      <c r="P2" s="186"/>
    </row>
    <row r="3" spans="2:16" ht="50.25" thickBot="1" x14ac:dyDescent="0.3">
      <c r="B3" s="323" t="s">
        <v>19</v>
      </c>
      <c r="C3" s="325" t="s">
        <v>225</v>
      </c>
      <c r="D3" s="325" t="s">
        <v>224</v>
      </c>
      <c r="E3" s="326" t="s">
        <v>47</v>
      </c>
      <c r="F3" s="334"/>
      <c r="G3" s="323" t="s">
        <v>19</v>
      </c>
      <c r="H3" s="74" t="s">
        <v>207</v>
      </c>
      <c r="I3" s="326" t="s">
        <v>53</v>
      </c>
      <c r="J3" s="334"/>
      <c r="K3" s="323" t="s">
        <v>19</v>
      </c>
      <c r="L3" s="74" t="s">
        <v>208</v>
      </c>
      <c r="M3" s="326" t="s">
        <v>54</v>
      </c>
      <c r="N3" s="334"/>
      <c r="O3" s="323" t="s">
        <v>19</v>
      </c>
      <c r="P3" s="66" t="s">
        <v>58</v>
      </c>
    </row>
    <row r="4" spans="2:16" ht="14.1" customHeight="1" x14ac:dyDescent="0.25">
      <c r="B4" s="327">
        <v>2017</v>
      </c>
      <c r="C4" s="129" t="s">
        <v>60</v>
      </c>
      <c r="D4" s="130"/>
      <c r="E4" s="131"/>
      <c r="F4" s="69"/>
      <c r="G4" s="114">
        <v>2017</v>
      </c>
      <c r="H4" s="187" t="s">
        <v>60</v>
      </c>
      <c r="I4" s="188"/>
      <c r="J4" s="69"/>
      <c r="K4" s="327">
        <v>2017</v>
      </c>
      <c r="L4" s="193" t="s">
        <v>60</v>
      </c>
      <c r="M4" s="188"/>
      <c r="N4" s="69"/>
      <c r="O4" s="327">
        <v>2017</v>
      </c>
      <c r="P4" s="64">
        <f t="shared" ref="P4:P28" si="0">SUM(I4,M4)</f>
        <v>0</v>
      </c>
    </row>
    <row r="5" spans="2:16" ht="14.1" customHeight="1" x14ac:dyDescent="0.25">
      <c r="B5" s="328">
        <v>2018</v>
      </c>
      <c r="C5" s="132"/>
      <c r="D5" s="133"/>
      <c r="E5" s="134"/>
      <c r="F5" s="69"/>
      <c r="G5" s="115">
        <v>2018</v>
      </c>
      <c r="H5" s="189"/>
      <c r="I5" s="190"/>
      <c r="J5" s="69"/>
      <c r="K5" s="328">
        <v>2018</v>
      </c>
      <c r="L5" s="194"/>
      <c r="M5" s="190"/>
      <c r="N5" s="69"/>
      <c r="O5" s="328">
        <v>2018</v>
      </c>
      <c r="P5" s="65">
        <f t="shared" si="0"/>
        <v>0</v>
      </c>
    </row>
    <row r="6" spans="2:16" ht="14.1" customHeight="1" x14ac:dyDescent="0.25">
      <c r="B6" s="328">
        <v>2019</v>
      </c>
      <c r="C6" s="132"/>
      <c r="D6" s="133"/>
      <c r="E6" s="134"/>
      <c r="F6" s="69"/>
      <c r="G6" s="115">
        <v>2019</v>
      </c>
      <c r="H6" s="189"/>
      <c r="I6" s="190"/>
      <c r="J6" s="69"/>
      <c r="K6" s="328">
        <v>2019</v>
      </c>
      <c r="L6" s="194"/>
      <c r="M6" s="190"/>
      <c r="N6" s="69"/>
      <c r="O6" s="328">
        <v>2019</v>
      </c>
      <c r="P6" s="65">
        <f t="shared" si="0"/>
        <v>0</v>
      </c>
    </row>
    <row r="7" spans="2:16" ht="14.1" customHeight="1" x14ac:dyDescent="0.25">
      <c r="B7" s="328">
        <v>2020</v>
      </c>
      <c r="C7" s="132"/>
      <c r="D7" s="133"/>
      <c r="E7" s="134"/>
      <c r="F7" s="69"/>
      <c r="G7" s="115">
        <v>2020</v>
      </c>
      <c r="H7" s="189"/>
      <c r="I7" s="190"/>
      <c r="J7" s="69"/>
      <c r="K7" s="328">
        <v>2020</v>
      </c>
      <c r="L7" s="194"/>
      <c r="M7" s="190"/>
      <c r="N7" s="69"/>
      <c r="O7" s="328">
        <v>2020</v>
      </c>
      <c r="P7" s="65">
        <f t="shared" si="0"/>
        <v>0</v>
      </c>
    </row>
    <row r="8" spans="2:16" ht="14.1" customHeight="1" x14ac:dyDescent="0.25">
      <c r="B8" s="328">
        <v>2021</v>
      </c>
      <c r="C8" s="135"/>
      <c r="D8" s="136"/>
      <c r="E8" s="137"/>
      <c r="F8" s="69"/>
      <c r="G8" s="115">
        <v>2021</v>
      </c>
      <c r="H8" s="191"/>
      <c r="I8" s="192"/>
      <c r="J8" s="69"/>
      <c r="K8" s="328">
        <v>2021</v>
      </c>
      <c r="L8" s="195"/>
      <c r="M8" s="192"/>
      <c r="N8" s="69"/>
      <c r="O8" s="328">
        <v>2021</v>
      </c>
      <c r="P8" s="65">
        <f t="shared" si="0"/>
        <v>0</v>
      </c>
    </row>
    <row r="9" spans="2:16" ht="14.1" customHeight="1" x14ac:dyDescent="0.3">
      <c r="B9" s="328">
        <v>2022</v>
      </c>
      <c r="C9" s="329">
        <f>SUM(Traffic!R3:R55)*365</f>
        <v>304576652.05461282</v>
      </c>
      <c r="D9" s="329">
        <f>SUM(Traffic!AE3:AE55)*365</f>
        <v>305761794.91305244</v>
      </c>
      <c r="E9" s="330">
        <f t="shared" ref="E9" si="1">C9-D9</f>
        <v>-1185142.8584396243</v>
      </c>
      <c r="F9" s="69"/>
      <c r="G9" s="115">
        <v>2022</v>
      </c>
      <c r="H9" s="117">
        <f>E9*(1-$E$41)</f>
        <v>-1161440.0012708318</v>
      </c>
      <c r="I9" s="219">
        <f>H9*$E$42</f>
        <v>-464576.00050833274</v>
      </c>
      <c r="J9" s="61"/>
      <c r="K9" s="328">
        <v>2022</v>
      </c>
      <c r="L9" s="62">
        <f>E9*$E$41</f>
        <v>-23702.857168792485</v>
      </c>
      <c r="M9" s="219">
        <f>L9*$E$43</f>
        <v>-22754.742882040784</v>
      </c>
      <c r="N9" s="61"/>
      <c r="O9" s="328">
        <v>2022</v>
      </c>
      <c r="P9" s="221">
        <f t="shared" si="0"/>
        <v>-487330.74339037354</v>
      </c>
    </row>
    <row r="10" spans="2:16" ht="14.1" customHeight="1" x14ac:dyDescent="0.3">
      <c r="B10" s="328">
        <v>2023</v>
      </c>
      <c r="C10" s="329">
        <f>($C$28-$C$9)/19+C9</f>
        <v>307210962.31202835</v>
      </c>
      <c r="D10" s="329">
        <f>($D$28-$D$9)/19+D9</f>
        <v>308447111.02143294</v>
      </c>
      <c r="E10" s="330">
        <f t="shared" ref="E10:E28" si="2">C10-D10</f>
        <v>-1236148.7094045877</v>
      </c>
      <c r="F10" s="69"/>
      <c r="G10" s="115">
        <v>2023</v>
      </c>
      <c r="H10" s="117">
        <f t="shared" ref="H10:H28" si="3">E10*(1-$E$41)</f>
        <v>-1211425.735216496</v>
      </c>
      <c r="I10" s="219">
        <f t="shared" ref="I10:I28" si="4">H10*$E$42</f>
        <v>-484570.29408659844</v>
      </c>
      <c r="J10" s="61"/>
      <c r="K10" s="328">
        <v>2023</v>
      </c>
      <c r="L10" s="62">
        <f t="shared" ref="L10:L28" si="5">E10*$E$41</f>
        <v>-24722.974188091757</v>
      </c>
      <c r="M10" s="219">
        <f t="shared" ref="M10:M28" si="6">L10*$E$43</f>
        <v>-23734.055220568087</v>
      </c>
      <c r="N10" s="61"/>
      <c r="O10" s="328">
        <v>2023</v>
      </c>
      <c r="P10" s="221">
        <f t="shared" si="0"/>
        <v>-508304.34930716653</v>
      </c>
    </row>
    <row r="11" spans="2:16" ht="14.1" customHeight="1" x14ac:dyDescent="0.3">
      <c r="B11" s="328">
        <v>2024</v>
      </c>
      <c r="C11" s="329">
        <f t="shared" ref="C11:C27" si="7">($C$28-$C$9)/19+C10</f>
        <v>309845272.56944388</v>
      </c>
      <c r="D11" s="329">
        <f t="shared" ref="D11:D27" si="8">($D$28-$D$9)/19+D10</f>
        <v>311132427.12981343</v>
      </c>
      <c r="E11" s="330">
        <f t="shared" si="2"/>
        <v>-1287154.5603695512</v>
      </c>
      <c r="F11" s="69"/>
      <c r="G11" s="115">
        <v>2024</v>
      </c>
      <c r="H11" s="117">
        <f t="shared" si="3"/>
        <v>-1261411.4691621601</v>
      </c>
      <c r="I11" s="219">
        <f t="shared" si="4"/>
        <v>-504564.58766486403</v>
      </c>
      <c r="J11" s="61"/>
      <c r="K11" s="328">
        <v>2024</v>
      </c>
      <c r="L11" s="62">
        <f t="shared" si="5"/>
        <v>-25743.091207391026</v>
      </c>
      <c r="M11" s="219">
        <f t="shared" si="6"/>
        <v>-24713.367559095383</v>
      </c>
      <c r="N11" s="61"/>
      <c r="O11" s="328">
        <v>2024</v>
      </c>
      <c r="P11" s="221">
        <f t="shared" si="0"/>
        <v>-529277.9552239594</v>
      </c>
    </row>
    <row r="12" spans="2:16" ht="14.1" customHeight="1" x14ac:dyDescent="0.3">
      <c r="B12" s="328">
        <v>2025</v>
      </c>
      <c r="C12" s="329">
        <f t="shared" si="7"/>
        <v>312479582.82685941</v>
      </c>
      <c r="D12" s="329">
        <f t="shared" si="8"/>
        <v>313817743.23819393</v>
      </c>
      <c r="E12" s="330">
        <f t="shared" si="2"/>
        <v>-1338160.4113345146</v>
      </c>
      <c r="F12" s="69"/>
      <c r="G12" s="115">
        <v>2025</v>
      </c>
      <c r="H12" s="117">
        <f t="shared" si="3"/>
        <v>-1311397.2031078243</v>
      </c>
      <c r="I12" s="219">
        <f t="shared" si="4"/>
        <v>-524558.88124312973</v>
      </c>
      <c r="J12" s="61"/>
      <c r="K12" s="328">
        <v>2025</v>
      </c>
      <c r="L12" s="62">
        <f t="shared" si="5"/>
        <v>-26763.208226690294</v>
      </c>
      <c r="M12" s="219">
        <f t="shared" si="6"/>
        <v>-25692.679897622682</v>
      </c>
      <c r="N12" s="61"/>
      <c r="O12" s="328">
        <v>2025</v>
      </c>
      <c r="P12" s="221">
        <f t="shared" si="0"/>
        <v>-550251.5611407524</v>
      </c>
    </row>
    <row r="13" spans="2:16" ht="14.1" customHeight="1" x14ac:dyDescent="0.3">
      <c r="B13" s="328">
        <v>2026</v>
      </c>
      <c r="C13" s="329">
        <f t="shared" si="7"/>
        <v>315113893.08427495</v>
      </c>
      <c r="D13" s="329">
        <f t="shared" si="8"/>
        <v>316503059.34657443</v>
      </c>
      <c r="E13" s="330">
        <f t="shared" si="2"/>
        <v>-1389166.2622994781</v>
      </c>
      <c r="F13" s="69"/>
      <c r="G13" s="115">
        <v>2026</v>
      </c>
      <c r="H13" s="117">
        <f t="shared" si="3"/>
        <v>-1361382.9370534886</v>
      </c>
      <c r="I13" s="219">
        <f t="shared" si="4"/>
        <v>-544553.17482139543</v>
      </c>
      <c r="J13" s="61"/>
      <c r="K13" s="328">
        <v>2026</v>
      </c>
      <c r="L13" s="62">
        <f t="shared" si="5"/>
        <v>-27783.325245989563</v>
      </c>
      <c r="M13" s="219">
        <f t="shared" si="6"/>
        <v>-26671.992236149981</v>
      </c>
      <c r="N13" s="61"/>
      <c r="O13" s="328">
        <v>2026</v>
      </c>
      <c r="P13" s="221">
        <f t="shared" si="0"/>
        <v>-571225.16705754539</v>
      </c>
    </row>
    <row r="14" spans="2:16" ht="14.1" customHeight="1" x14ac:dyDescent="0.3">
      <c r="B14" s="328">
        <v>2027</v>
      </c>
      <c r="C14" s="329">
        <f t="shared" si="7"/>
        <v>317748203.34169048</v>
      </c>
      <c r="D14" s="329">
        <f t="shared" si="8"/>
        <v>319188375.45495492</v>
      </c>
      <c r="E14" s="330">
        <f t="shared" si="2"/>
        <v>-1440172.1132644415</v>
      </c>
      <c r="F14" s="69"/>
      <c r="G14" s="115">
        <v>2027</v>
      </c>
      <c r="H14" s="117">
        <f t="shared" si="3"/>
        <v>-1411368.6709991526</v>
      </c>
      <c r="I14" s="219">
        <f t="shared" si="4"/>
        <v>-564547.46839966101</v>
      </c>
      <c r="J14" s="61"/>
      <c r="K14" s="328">
        <v>2027</v>
      </c>
      <c r="L14" s="62">
        <f t="shared" si="5"/>
        <v>-28803.442265288832</v>
      </c>
      <c r="M14" s="219">
        <f t="shared" si="6"/>
        <v>-27651.304574677277</v>
      </c>
      <c r="N14" s="61"/>
      <c r="O14" s="328">
        <v>2027</v>
      </c>
      <c r="P14" s="221">
        <f t="shared" si="0"/>
        <v>-592198.77297433827</v>
      </c>
    </row>
    <row r="15" spans="2:16" ht="14.1" customHeight="1" x14ac:dyDescent="0.3">
      <c r="B15" s="328">
        <v>2028</v>
      </c>
      <c r="C15" s="329">
        <f t="shared" si="7"/>
        <v>320382513.59910601</v>
      </c>
      <c r="D15" s="329">
        <f t="shared" si="8"/>
        <v>321873691.56333542</v>
      </c>
      <c r="E15" s="330">
        <f t="shared" si="2"/>
        <v>-1491177.9642294049</v>
      </c>
      <c r="F15" s="69"/>
      <c r="G15" s="115">
        <v>2028</v>
      </c>
      <c r="H15" s="117">
        <f t="shared" si="3"/>
        <v>-1461354.4049448168</v>
      </c>
      <c r="I15" s="219">
        <f t="shared" si="4"/>
        <v>-584541.76197792671</v>
      </c>
      <c r="J15" s="61"/>
      <c r="K15" s="328">
        <v>2028</v>
      </c>
      <c r="L15" s="62">
        <f t="shared" si="5"/>
        <v>-29823.5592845881</v>
      </c>
      <c r="M15" s="219">
        <f t="shared" si="6"/>
        <v>-28630.616913204576</v>
      </c>
      <c r="N15" s="61"/>
      <c r="O15" s="328">
        <v>2028</v>
      </c>
      <c r="P15" s="221">
        <f t="shared" si="0"/>
        <v>-613172.37889113126</v>
      </c>
    </row>
    <row r="16" spans="2:16" ht="14.1" customHeight="1" x14ac:dyDescent="0.3">
      <c r="B16" s="328">
        <v>2029</v>
      </c>
      <c r="C16" s="329">
        <f t="shared" si="7"/>
        <v>323016823.85652155</v>
      </c>
      <c r="D16" s="329">
        <f t="shared" si="8"/>
        <v>324559007.67171592</v>
      </c>
      <c r="E16" s="330">
        <f t="shared" si="2"/>
        <v>-1542183.8151943684</v>
      </c>
      <c r="F16" s="69"/>
      <c r="G16" s="115">
        <v>2029</v>
      </c>
      <c r="H16" s="117">
        <f t="shared" si="3"/>
        <v>-1511340.1388904809</v>
      </c>
      <c r="I16" s="219">
        <f t="shared" si="4"/>
        <v>-604536.05555619241</v>
      </c>
      <c r="J16" s="61"/>
      <c r="K16" s="328">
        <v>2029</v>
      </c>
      <c r="L16" s="62">
        <f t="shared" si="5"/>
        <v>-30843.676303887369</v>
      </c>
      <c r="M16" s="219">
        <f t="shared" si="6"/>
        <v>-29609.929251731872</v>
      </c>
      <c r="N16" s="61"/>
      <c r="O16" s="328">
        <v>2029</v>
      </c>
      <c r="P16" s="221">
        <f t="shared" si="0"/>
        <v>-634145.98480792425</v>
      </c>
    </row>
    <row r="17" spans="2:16" ht="14.1" customHeight="1" x14ac:dyDescent="0.3">
      <c r="B17" s="328">
        <v>2030</v>
      </c>
      <c r="C17" s="329">
        <f t="shared" si="7"/>
        <v>325651134.11393708</v>
      </c>
      <c r="D17" s="329">
        <f t="shared" si="8"/>
        <v>327244323.78009641</v>
      </c>
      <c r="E17" s="330">
        <f t="shared" si="2"/>
        <v>-1593189.6661593318</v>
      </c>
      <c r="F17" s="69"/>
      <c r="G17" s="115">
        <v>2030</v>
      </c>
      <c r="H17" s="117">
        <f t="shared" si="3"/>
        <v>-1561325.8728361451</v>
      </c>
      <c r="I17" s="219">
        <f t="shared" si="4"/>
        <v>-624530.34913445811</v>
      </c>
      <c r="J17" s="61"/>
      <c r="K17" s="328">
        <v>2030</v>
      </c>
      <c r="L17" s="62">
        <f t="shared" si="5"/>
        <v>-31863.793323186637</v>
      </c>
      <c r="M17" s="219">
        <f t="shared" si="6"/>
        <v>-30589.241590259171</v>
      </c>
      <c r="N17" s="61"/>
      <c r="O17" s="328">
        <v>2030</v>
      </c>
      <c r="P17" s="221">
        <f t="shared" si="0"/>
        <v>-655119.59072471724</v>
      </c>
    </row>
    <row r="18" spans="2:16" ht="14.1" customHeight="1" x14ac:dyDescent="0.3">
      <c r="B18" s="328">
        <v>2031</v>
      </c>
      <c r="C18" s="329">
        <f t="shared" si="7"/>
        <v>328285444.37135261</v>
      </c>
      <c r="D18" s="329">
        <f t="shared" si="8"/>
        <v>329929639.88847691</v>
      </c>
      <c r="E18" s="330">
        <f t="shared" si="2"/>
        <v>-1644195.5171242952</v>
      </c>
      <c r="F18" s="69"/>
      <c r="G18" s="115">
        <v>2031</v>
      </c>
      <c r="H18" s="117">
        <f t="shared" si="3"/>
        <v>-1611311.6067818094</v>
      </c>
      <c r="I18" s="219">
        <f t="shared" si="4"/>
        <v>-644524.64271272381</v>
      </c>
      <c r="J18" s="61"/>
      <c r="K18" s="328">
        <v>2031</v>
      </c>
      <c r="L18" s="62">
        <f t="shared" si="5"/>
        <v>-32883.910342485906</v>
      </c>
      <c r="M18" s="219">
        <f t="shared" si="6"/>
        <v>-31568.553928786467</v>
      </c>
      <c r="N18" s="61"/>
      <c r="O18" s="328">
        <v>2031</v>
      </c>
      <c r="P18" s="221">
        <f t="shared" si="0"/>
        <v>-676093.19664151024</v>
      </c>
    </row>
    <row r="19" spans="2:16" ht="14.1" customHeight="1" x14ac:dyDescent="0.3">
      <c r="B19" s="328">
        <v>2032</v>
      </c>
      <c r="C19" s="329">
        <f t="shared" si="7"/>
        <v>330919754.62876815</v>
      </c>
      <c r="D19" s="329">
        <f t="shared" si="8"/>
        <v>332614955.9968574</v>
      </c>
      <c r="E19" s="330">
        <f t="shared" si="2"/>
        <v>-1695201.3680892587</v>
      </c>
      <c r="F19" s="69"/>
      <c r="G19" s="115">
        <v>2032</v>
      </c>
      <c r="H19" s="117">
        <f t="shared" si="3"/>
        <v>-1661297.3407274734</v>
      </c>
      <c r="I19" s="219">
        <f t="shared" si="4"/>
        <v>-664518.9362909894</v>
      </c>
      <c r="J19" s="61"/>
      <c r="K19" s="328">
        <v>2032</v>
      </c>
      <c r="L19" s="62">
        <f t="shared" si="5"/>
        <v>-33904.027361785171</v>
      </c>
      <c r="M19" s="219">
        <f t="shared" si="6"/>
        <v>-32547.866267313762</v>
      </c>
      <c r="N19" s="61"/>
      <c r="O19" s="328">
        <v>2032</v>
      </c>
      <c r="P19" s="221">
        <f t="shared" si="0"/>
        <v>-697066.80255830311</v>
      </c>
    </row>
    <row r="20" spans="2:16" ht="14.1" customHeight="1" x14ac:dyDescent="0.3">
      <c r="B20" s="328">
        <v>2033</v>
      </c>
      <c r="C20" s="329">
        <f t="shared" si="7"/>
        <v>333554064.88618368</v>
      </c>
      <c r="D20" s="329">
        <f t="shared" si="8"/>
        <v>335300272.1052379</v>
      </c>
      <c r="E20" s="330">
        <f t="shared" si="2"/>
        <v>-1746207.2190542221</v>
      </c>
      <c r="F20" s="69"/>
      <c r="G20" s="115">
        <v>2033</v>
      </c>
      <c r="H20" s="117">
        <f t="shared" si="3"/>
        <v>-1711283.0746731376</v>
      </c>
      <c r="I20" s="219">
        <f t="shared" si="4"/>
        <v>-684513.2298692551</v>
      </c>
      <c r="J20" s="61"/>
      <c r="K20" s="328">
        <v>2033</v>
      </c>
      <c r="L20" s="62">
        <f t="shared" si="5"/>
        <v>-34924.144381084443</v>
      </c>
      <c r="M20" s="219">
        <f t="shared" si="6"/>
        <v>-33527.178605841065</v>
      </c>
      <c r="N20" s="61"/>
      <c r="O20" s="328">
        <v>2033</v>
      </c>
      <c r="P20" s="221">
        <f t="shared" si="0"/>
        <v>-718040.4084750961</v>
      </c>
    </row>
    <row r="21" spans="2:16" ht="14.1" customHeight="1" x14ac:dyDescent="0.3">
      <c r="B21" s="328">
        <v>2034</v>
      </c>
      <c r="C21" s="329">
        <f t="shared" si="7"/>
        <v>336188375.14359921</v>
      </c>
      <c r="D21" s="329">
        <f t="shared" si="8"/>
        <v>337985588.2136184</v>
      </c>
      <c r="E21" s="330">
        <f t="shared" si="2"/>
        <v>-1797213.0700191855</v>
      </c>
      <c r="F21" s="69"/>
      <c r="G21" s="115">
        <v>2034</v>
      </c>
      <c r="H21" s="117">
        <f t="shared" si="3"/>
        <v>-1761268.8086188019</v>
      </c>
      <c r="I21" s="219">
        <f t="shared" si="4"/>
        <v>-704507.5234475208</v>
      </c>
      <c r="J21" s="61"/>
      <c r="K21" s="328">
        <v>2034</v>
      </c>
      <c r="L21" s="62">
        <f t="shared" si="5"/>
        <v>-35944.261400383715</v>
      </c>
      <c r="M21" s="219">
        <f t="shared" si="6"/>
        <v>-34506.490944368365</v>
      </c>
      <c r="N21" s="61"/>
      <c r="O21" s="328">
        <v>2034</v>
      </c>
      <c r="P21" s="221">
        <f t="shared" si="0"/>
        <v>-739014.01439188921</v>
      </c>
    </row>
    <row r="22" spans="2:16" ht="14.1" customHeight="1" x14ac:dyDescent="0.3">
      <c r="B22" s="328">
        <v>2035</v>
      </c>
      <c r="C22" s="329">
        <f t="shared" si="7"/>
        <v>338822685.40101475</v>
      </c>
      <c r="D22" s="329">
        <f t="shared" si="8"/>
        <v>340670904.32199889</v>
      </c>
      <c r="E22" s="330">
        <f t="shared" si="2"/>
        <v>-1848218.920984149</v>
      </c>
      <c r="F22" s="69"/>
      <c r="G22" s="115">
        <v>2035</v>
      </c>
      <c r="H22" s="117">
        <f t="shared" si="3"/>
        <v>-1811254.5425644659</v>
      </c>
      <c r="I22" s="219">
        <f t="shared" si="4"/>
        <v>-724501.81702578638</v>
      </c>
      <c r="J22" s="61"/>
      <c r="K22" s="328">
        <v>2035</v>
      </c>
      <c r="L22" s="62">
        <f t="shared" si="5"/>
        <v>-36964.37841968298</v>
      </c>
      <c r="M22" s="219">
        <f t="shared" si="6"/>
        <v>-35485.803282895657</v>
      </c>
      <c r="N22" s="61"/>
      <c r="O22" s="328">
        <v>2035</v>
      </c>
      <c r="P22" s="221">
        <f t="shared" si="0"/>
        <v>-759987.62030868209</v>
      </c>
    </row>
    <row r="23" spans="2:16" ht="14.1" customHeight="1" x14ac:dyDescent="0.3">
      <c r="B23" s="328">
        <v>2036</v>
      </c>
      <c r="C23" s="329">
        <f t="shared" si="7"/>
        <v>341456995.65843028</v>
      </c>
      <c r="D23" s="329">
        <f t="shared" si="8"/>
        <v>343356220.43037939</v>
      </c>
      <c r="E23" s="330">
        <f t="shared" si="2"/>
        <v>-1899224.7719491124</v>
      </c>
      <c r="F23" s="69"/>
      <c r="G23" s="115">
        <v>2036</v>
      </c>
      <c r="H23" s="117">
        <f t="shared" si="3"/>
        <v>-1861240.2765101301</v>
      </c>
      <c r="I23" s="219">
        <f t="shared" si="4"/>
        <v>-744496.11060405208</v>
      </c>
      <c r="J23" s="61"/>
      <c r="K23" s="328">
        <v>2036</v>
      </c>
      <c r="L23" s="62">
        <f t="shared" si="5"/>
        <v>-37984.495438982252</v>
      </c>
      <c r="M23" s="219">
        <f t="shared" si="6"/>
        <v>-36465.115621422963</v>
      </c>
      <c r="N23" s="61"/>
      <c r="O23" s="328">
        <v>2036</v>
      </c>
      <c r="P23" s="221">
        <f t="shared" si="0"/>
        <v>-780961.22622547508</v>
      </c>
    </row>
    <row r="24" spans="2:16" ht="14.1" customHeight="1" x14ac:dyDescent="0.3">
      <c r="B24" s="328">
        <v>2037</v>
      </c>
      <c r="C24" s="329">
        <f t="shared" si="7"/>
        <v>344091305.91584581</v>
      </c>
      <c r="D24" s="329">
        <f t="shared" si="8"/>
        <v>346041536.53875989</v>
      </c>
      <c r="E24" s="330">
        <f t="shared" si="2"/>
        <v>-1950230.6229140759</v>
      </c>
      <c r="F24" s="69"/>
      <c r="G24" s="115">
        <v>2037</v>
      </c>
      <c r="H24" s="117">
        <f t="shared" si="3"/>
        <v>-1911226.0104557944</v>
      </c>
      <c r="I24" s="219">
        <f t="shared" si="4"/>
        <v>-764490.40418231778</v>
      </c>
      <c r="J24" s="61"/>
      <c r="K24" s="328">
        <v>2037</v>
      </c>
      <c r="L24" s="62">
        <f t="shared" si="5"/>
        <v>-39004.612458281517</v>
      </c>
      <c r="M24" s="219">
        <f t="shared" si="6"/>
        <v>-37444.427959950255</v>
      </c>
      <c r="N24" s="61"/>
      <c r="O24" s="328">
        <v>2037</v>
      </c>
      <c r="P24" s="221">
        <f t="shared" si="0"/>
        <v>-801934.83214226807</v>
      </c>
    </row>
    <row r="25" spans="2:16" ht="14.1" customHeight="1" x14ac:dyDescent="0.3">
      <c r="B25" s="328">
        <v>2038</v>
      </c>
      <c r="C25" s="329">
        <f t="shared" si="7"/>
        <v>346725616.17326134</v>
      </c>
      <c r="D25" s="329">
        <f t="shared" si="8"/>
        <v>348726852.64714038</v>
      </c>
      <c r="E25" s="330">
        <f t="shared" si="2"/>
        <v>-2001236.4738790393</v>
      </c>
      <c r="F25" s="69"/>
      <c r="G25" s="115">
        <v>2038</v>
      </c>
      <c r="H25" s="117">
        <f t="shared" si="3"/>
        <v>-1961211.7444014584</v>
      </c>
      <c r="I25" s="219">
        <f t="shared" si="4"/>
        <v>-784484.69776058337</v>
      </c>
      <c r="J25" s="61"/>
      <c r="K25" s="328">
        <v>2038</v>
      </c>
      <c r="L25" s="62">
        <f t="shared" si="5"/>
        <v>-40024.72947758079</v>
      </c>
      <c r="M25" s="219">
        <f t="shared" si="6"/>
        <v>-38423.740298477554</v>
      </c>
      <c r="N25" s="61"/>
      <c r="O25" s="328">
        <v>2038</v>
      </c>
      <c r="P25" s="221">
        <f t="shared" si="0"/>
        <v>-822908.43805906095</v>
      </c>
    </row>
    <row r="26" spans="2:16" ht="14.1" customHeight="1" x14ac:dyDescent="0.3">
      <c r="B26" s="328">
        <v>2039</v>
      </c>
      <c r="C26" s="329">
        <f t="shared" si="7"/>
        <v>349359926.43067688</v>
      </c>
      <c r="D26" s="329">
        <f t="shared" si="8"/>
        <v>351412168.75552088</v>
      </c>
      <c r="E26" s="330">
        <f t="shared" si="2"/>
        <v>-2052242.3248440027</v>
      </c>
      <c r="F26" s="69"/>
      <c r="G26" s="115">
        <v>2039</v>
      </c>
      <c r="H26" s="117">
        <f t="shared" si="3"/>
        <v>-2011197.4783471227</v>
      </c>
      <c r="I26" s="219">
        <f t="shared" si="4"/>
        <v>-804478.99133884907</v>
      </c>
      <c r="J26" s="61"/>
      <c r="K26" s="328">
        <v>2039</v>
      </c>
      <c r="L26" s="62">
        <f t="shared" si="5"/>
        <v>-41044.846496880054</v>
      </c>
      <c r="M26" s="219">
        <f t="shared" si="6"/>
        <v>-39403.052637004854</v>
      </c>
      <c r="N26" s="61"/>
      <c r="O26" s="328">
        <v>2039</v>
      </c>
      <c r="P26" s="221">
        <f t="shared" si="0"/>
        <v>-843882.04397585394</v>
      </c>
    </row>
    <row r="27" spans="2:16" ht="14.1" customHeight="1" x14ac:dyDescent="0.3">
      <c r="B27" s="328">
        <v>2040</v>
      </c>
      <c r="C27" s="329">
        <f t="shared" si="7"/>
        <v>351994236.68809241</v>
      </c>
      <c r="D27" s="329">
        <f t="shared" si="8"/>
        <v>354097484.86390138</v>
      </c>
      <c r="E27" s="330">
        <f t="shared" si="2"/>
        <v>-2103248.1758089662</v>
      </c>
      <c r="F27" s="69"/>
      <c r="G27" s="115">
        <v>2040</v>
      </c>
      <c r="H27" s="117">
        <f t="shared" si="3"/>
        <v>-2061183.2122927867</v>
      </c>
      <c r="I27" s="219">
        <f t="shared" si="4"/>
        <v>-824473.28491711477</v>
      </c>
      <c r="J27" s="61"/>
      <c r="K27" s="328">
        <v>2040</v>
      </c>
      <c r="L27" s="62">
        <f t="shared" si="5"/>
        <v>-42064.963516179327</v>
      </c>
      <c r="M27" s="219">
        <f t="shared" si="6"/>
        <v>-40382.364975532153</v>
      </c>
      <c r="N27" s="61"/>
      <c r="O27" s="328">
        <v>2040</v>
      </c>
      <c r="P27" s="221">
        <f t="shared" si="0"/>
        <v>-864855.64989264694</v>
      </c>
    </row>
    <row r="28" spans="2:16" ht="14.1" customHeight="1" thickBot="1" x14ac:dyDescent="0.3">
      <c r="B28" s="331">
        <v>2041</v>
      </c>
      <c r="C28" s="332">
        <f>SUM(Traffic!S3:S55)*365</f>
        <v>354628546.9455083</v>
      </c>
      <c r="D28" s="332">
        <f>SUM(Traffic!AF3:AF55)*365</f>
        <v>356782800.97228181</v>
      </c>
      <c r="E28" s="333">
        <f t="shared" si="2"/>
        <v>-2154254.0267735124</v>
      </c>
      <c r="F28" s="69"/>
      <c r="G28" s="116">
        <v>2041</v>
      </c>
      <c r="H28" s="118">
        <f t="shared" si="3"/>
        <v>-2111168.9462380419</v>
      </c>
      <c r="I28" s="220">
        <f t="shared" si="4"/>
        <v>-844467.57849521679</v>
      </c>
      <c r="J28" s="61"/>
      <c r="K28" s="331">
        <v>2041</v>
      </c>
      <c r="L28" s="63">
        <f t="shared" si="5"/>
        <v>-43085.080535470246</v>
      </c>
      <c r="M28" s="220">
        <f t="shared" si="6"/>
        <v>-41361.677314051434</v>
      </c>
      <c r="N28" s="61"/>
      <c r="O28" s="331">
        <v>2041</v>
      </c>
      <c r="P28" s="222">
        <f t="shared" si="0"/>
        <v>-885829.25580926822</v>
      </c>
    </row>
    <row r="29" spans="2:16" ht="14.1" customHeight="1" x14ac:dyDescent="0.25">
      <c r="B29" s="273" t="s">
        <v>288</v>
      </c>
      <c r="C29" s="273"/>
      <c r="D29" s="273"/>
      <c r="E29" s="273"/>
      <c r="G29" s="294" t="s">
        <v>294</v>
      </c>
      <c r="H29" s="294"/>
      <c r="I29" s="294"/>
      <c r="K29" s="294" t="s">
        <v>295</v>
      </c>
      <c r="L29" s="294"/>
      <c r="M29" s="294"/>
      <c r="O29" s="336" t="s">
        <v>231</v>
      </c>
      <c r="P29" s="342">
        <f>SUM(P4:P28)</f>
        <v>-13731599.991997961</v>
      </c>
    </row>
    <row r="30" spans="2:16" s="358" customFormat="1" ht="14.1" customHeight="1" x14ac:dyDescent="0.25">
      <c r="G30" s="295"/>
      <c r="H30" s="295"/>
      <c r="I30" s="295"/>
      <c r="K30" s="295"/>
      <c r="L30" s="295"/>
      <c r="M30" s="295"/>
      <c r="O30" s="441" t="s">
        <v>296</v>
      </c>
      <c r="P30" s="441"/>
    </row>
    <row r="31" spans="2:16" s="358" customFormat="1" ht="14.1" customHeight="1" x14ac:dyDescent="0.25">
      <c r="G31" s="295"/>
      <c r="H31" s="295"/>
      <c r="I31" s="295"/>
      <c r="K31" s="295"/>
      <c r="L31" s="295"/>
      <c r="M31" s="295"/>
      <c r="O31" s="441"/>
      <c r="P31" s="441"/>
    </row>
    <row r="32" spans="2:16" s="358" customFormat="1" ht="14.1" customHeight="1" x14ac:dyDescent="0.25">
      <c r="G32" s="295"/>
      <c r="H32" s="295"/>
      <c r="I32" s="295"/>
      <c r="K32" s="295"/>
      <c r="L32" s="295"/>
      <c r="M32" s="295"/>
      <c r="O32" s="441"/>
      <c r="P32" s="441"/>
    </row>
    <row r="33" spans="2:16" s="358" customFormat="1" ht="14.1" customHeight="1" x14ac:dyDescent="0.25">
      <c r="G33" s="295"/>
      <c r="H33" s="295"/>
      <c r="I33" s="295"/>
      <c r="O33" s="374"/>
      <c r="P33" s="342"/>
    </row>
    <row r="34" spans="2:16" s="358" customFormat="1" ht="14.1" customHeight="1" x14ac:dyDescent="0.25">
      <c r="G34" s="360"/>
      <c r="H34" s="360"/>
      <c r="I34" s="360"/>
      <c r="J34" s="360"/>
      <c r="O34" s="374"/>
      <c r="P34" s="342"/>
    </row>
    <row r="35" spans="2:16" s="358" customFormat="1" ht="14.1" customHeight="1" x14ac:dyDescent="0.25">
      <c r="G35" s="360"/>
      <c r="H35" s="360"/>
      <c r="I35" s="360"/>
      <c r="J35" s="360"/>
      <c r="O35" s="374"/>
      <c r="P35" s="342"/>
    </row>
    <row r="36" spans="2:16" s="358" customFormat="1" ht="14.1" customHeight="1" x14ac:dyDescent="0.25">
      <c r="G36" s="360"/>
      <c r="H36" s="360"/>
      <c r="I36" s="360"/>
      <c r="J36" s="360"/>
      <c r="O36" s="374"/>
      <c r="P36" s="342"/>
    </row>
    <row r="37" spans="2:16" s="358" customFormat="1" ht="14.1" customHeight="1" x14ac:dyDescent="0.25">
      <c r="G37" s="360"/>
      <c r="H37" s="360"/>
      <c r="I37" s="360"/>
      <c r="J37" s="360"/>
      <c r="O37" s="374"/>
      <c r="P37" s="342"/>
    </row>
    <row r="38" spans="2:16" ht="14.1" customHeight="1" x14ac:dyDescent="0.25">
      <c r="G38" s="360"/>
      <c r="H38" s="360"/>
      <c r="I38" s="360"/>
      <c r="J38" s="360"/>
    </row>
    <row r="39" spans="2:16" ht="14.1" customHeight="1" thickBot="1" x14ac:dyDescent="0.3">
      <c r="B39" s="128" t="s">
        <v>271</v>
      </c>
      <c r="C39" s="128"/>
      <c r="D39" s="128"/>
      <c r="E39" s="128"/>
      <c r="G39" s="360"/>
      <c r="H39" s="360"/>
      <c r="I39" s="360"/>
      <c r="J39" s="360"/>
    </row>
    <row r="40" spans="2:16" ht="14.1" customHeight="1" thickBot="1" x14ac:dyDescent="0.3">
      <c r="B40" s="126" t="s">
        <v>56</v>
      </c>
      <c r="C40" s="127"/>
      <c r="D40" s="127"/>
      <c r="E40" s="52" t="s">
        <v>57</v>
      </c>
      <c r="G40" s="360"/>
      <c r="H40" s="360"/>
      <c r="I40" s="360"/>
      <c r="J40" s="360"/>
    </row>
    <row r="41" spans="2:16" ht="14.1" customHeight="1" thickBot="1" x14ac:dyDescent="0.3">
      <c r="B41" s="145" t="s">
        <v>3</v>
      </c>
      <c r="C41" s="146"/>
      <c r="D41" s="146"/>
      <c r="E41" s="335">
        <v>0.02</v>
      </c>
      <c r="G41" s="360"/>
      <c r="H41" s="360"/>
      <c r="I41" s="360"/>
      <c r="J41" s="360"/>
    </row>
    <row r="42" spans="2:16" ht="14.1" customHeight="1" x14ac:dyDescent="0.25">
      <c r="B42" s="143" t="s">
        <v>205</v>
      </c>
      <c r="C42" s="144"/>
      <c r="D42" s="144"/>
      <c r="E42" s="112">
        <v>0.4</v>
      </c>
    </row>
    <row r="43" spans="2:16" ht="14.1" customHeight="1" thickBot="1" x14ac:dyDescent="0.3">
      <c r="B43" s="141" t="s">
        <v>206</v>
      </c>
      <c r="C43" s="142"/>
      <c r="D43" s="142"/>
      <c r="E43" s="113">
        <v>0.96</v>
      </c>
    </row>
    <row r="44" spans="2:16" ht="14.1" customHeight="1" x14ac:dyDescent="0.25"/>
  </sheetData>
  <mergeCells count="16">
    <mergeCell ref="K29:M32"/>
    <mergeCell ref="G29:I33"/>
    <mergeCell ref="O30:P32"/>
    <mergeCell ref="B29:E29"/>
    <mergeCell ref="B39:E39"/>
    <mergeCell ref="B40:D40"/>
    <mergeCell ref="B41:D41"/>
    <mergeCell ref="B42:D42"/>
    <mergeCell ref="B43:D43"/>
    <mergeCell ref="B2:E2"/>
    <mergeCell ref="G2:I2"/>
    <mergeCell ref="K2:M2"/>
    <mergeCell ref="O2:P2"/>
    <mergeCell ref="C4:E8"/>
    <mergeCell ref="H4:I8"/>
    <mergeCell ref="L4:M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2:G29"/>
  <sheetViews>
    <sheetView workbookViewId="0">
      <selection activeCell="E31" sqref="E31"/>
    </sheetView>
  </sheetViews>
  <sheetFormatPr defaultColWidth="9.140625" defaultRowHeight="16.5" x14ac:dyDescent="0.25"/>
  <cols>
    <col min="1" max="1" width="3.7109375" style="358" customWidth="1"/>
    <col min="2" max="3" width="12.7109375" style="358" customWidth="1"/>
    <col min="4" max="4" width="9.140625" style="358"/>
    <col min="5" max="5" width="34.140625" style="358" bestFit="1" customWidth="1"/>
    <col min="6" max="6" width="29.140625" style="358" bestFit="1" customWidth="1"/>
    <col min="7" max="7" width="46.7109375" style="358" bestFit="1" customWidth="1"/>
    <col min="8" max="16384" width="9.140625" style="358"/>
  </cols>
  <sheetData>
    <row r="2" spans="1:7" s="348" customFormat="1" ht="43.15" customHeight="1" thickBot="1" x14ac:dyDescent="0.3">
      <c r="A2" s="388"/>
      <c r="B2" s="186" t="s">
        <v>275</v>
      </c>
      <c r="C2" s="186"/>
      <c r="E2" s="343"/>
      <c r="F2" s="343"/>
      <c r="G2" s="343"/>
    </row>
    <row r="3" spans="1:7" ht="56.1" customHeight="1" thickBot="1" x14ac:dyDescent="0.3">
      <c r="B3" s="367" t="s">
        <v>5</v>
      </c>
      <c r="C3" s="369" t="s">
        <v>273</v>
      </c>
      <c r="E3" s="128" t="s">
        <v>276</v>
      </c>
      <c r="F3" s="128"/>
      <c r="G3" s="128"/>
    </row>
    <row r="4" spans="1:7" ht="14.1" customHeight="1" thickBot="1" x14ac:dyDescent="0.3">
      <c r="B4" s="361">
        <v>2017</v>
      </c>
      <c r="C4" s="389">
        <v>0</v>
      </c>
      <c r="E4" s="375" t="s">
        <v>56</v>
      </c>
      <c r="F4" s="376" t="s">
        <v>57</v>
      </c>
      <c r="G4" s="377" t="s">
        <v>226</v>
      </c>
    </row>
    <row r="5" spans="1:7" ht="14.1" customHeight="1" x14ac:dyDescent="0.25">
      <c r="B5" s="362">
        <v>2018</v>
      </c>
      <c r="C5" s="390">
        <v>0</v>
      </c>
      <c r="E5" s="378" t="s">
        <v>279</v>
      </c>
      <c r="F5" s="241">
        <v>2</v>
      </c>
      <c r="G5" s="379"/>
    </row>
    <row r="6" spans="1:7" ht="14.1" customHeight="1" x14ac:dyDescent="0.25">
      <c r="B6" s="362">
        <v>2019</v>
      </c>
      <c r="C6" s="390">
        <v>0</v>
      </c>
      <c r="E6" s="378" t="s">
        <v>227</v>
      </c>
      <c r="F6" s="380">
        <v>5.5</v>
      </c>
      <c r="G6" s="379"/>
    </row>
    <row r="7" spans="1:7" ht="14.1" customHeight="1" x14ac:dyDescent="0.25">
      <c r="B7" s="362">
        <v>2020</v>
      </c>
      <c r="C7" s="390">
        <v>0</v>
      </c>
      <c r="E7" s="378" t="s">
        <v>228</v>
      </c>
      <c r="F7" s="241">
        <f>F6*F5</f>
        <v>11</v>
      </c>
      <c r="G7" s="379" t="s">
        <v>280</v>
      </c>
    </row>
    <row r="8" spans="1:7" ht="14.1" customHeight="1" thickBot="1" x14ac:dyDescent="0.3">
      <c r="B8" s="362">
        <v>2021</v>
      </c>
      <c r="C8" s="390">
        <v>0</v>
      </c>
      <c r="E8" s="381" t="s">
        <v>277</v>
      </c>
      <c r="F8" s="382">
        <v>200000</v>
      </c>
      <c r="G8" s="383" t="s">
        <v>278</v>
      </c>
    </row>
    <row r="9" spans="1:7" ht="14.1" customHeight="1" thickBot="1" x14ac:dyDescent="0.3">
      <c r="B9" s="362">
        <v>2022</v>
      </c>
      <c r="C9" s="390">
        <v>0</v>
      </c>
      <c r="E9" s="384" t="s">
        <v>229</v>
      </c>
      <c r="F9" s="385">
        <f>F7*F8</f>
        <v>2200000</v>
      </c>
      <c r="G9" s="386" t="s">
        <v>230</v>
      </c>
    </row>
    <row r="10" spans="1:7" ht="14.1" customHeight="1" x14ac:dyDescent="0.25">
      <c r="B10" s="362">
        <v>2023</v>
      </c>
      <c r="C10" s="390">
        <v>0</v>
      </c>
      <c r="E10" s="309"/>
      <c r="F10" s="309"/>
      <c r="G10" s="309"/>
    </row>
    <row r="11" spans="1:7" ht="14.1" customHeight="1" x14ac:dyDescent="0.25">
      <c r="B11" s="362">
        <v>2024</v>
      </c>
      <c r="C11" s="390">
        <v>0</v>
      </c>
      <c r="E11" s="309"/>
      <c r="F11" s="309"/>
      <c r="G11" s="309"/>
    </row>
    <row r="12" spans="1:7" ht="14.1" customHeight="1" x14ac:dyDescent="0.25">
      <c r="B12" s="362">
        <v>2025</v>
      </c>
      <c r="C12" s="390">
        <v>0</v>
      </c>
      <c r="E12" s="387" t="s">
        <v>281</v>
      </c>
      <c r="F12" s="387"/>
      <c r="G12" s="387"/>
    </row>
    <row r="13" spans="1:7" ht="14.1" customHeight="1" x14ac:dyDescent="0.25">
      <c r="B13" s="362">
        <v>2026</v>
      </c>
      <c r="C13" s="390">
        <v>0</v>
      </c>
      <c r="E13" s="392" t="s">
        <v>45</v>
      </c>
      <c r="F13" s="393"/>
      <c r="G13" s="394"/>
    </row>
    <row r="14" spans="1:7" ht="14.1" customHeight="1" x14ac:dyDescent="0.25">
      <c r="B14" s="362">
        <v>2027</v>
      </c>
      <c r="C14" s="390">
        <v>0</v>
      </c>
      <c r="E14" s="396"/>
      <c r="F14" s="397"/>
      <c r="G14" s="398"/>
    </row>
    <row r="15" spans="1:7" ht="14.1" customHeight="1" x14ac:dyDescent="0.25">
      <c r="B15" s="362">
        <v>2028</v>
      </c>
      <c r="C15" s="390">
        <v>0</v>
      </c>
      <c r="E15" s="399"/>
      <c r="F15" s="400"/>
      <c r="G15" s="401"/>
    </row>
    <row r="16" spans="1:7" ht="14.1" customHeight="1" x14ac:dyDescent="0.25">
      <c r="B16" s="362">
        <v>2029</v>
      </c>
      <c r="C16" s="390">
        <v>0</v>
      </c>
    </row>
    <row r="17" spans="2:4" ht="14.1" customHeight="1" x14ac:dyDescent="0.25">
      <c r="B17" s="362">
        <v>2030</v>
      </c>
      <c r="C17" s="390">
        <v>0</v>
      </c>
    </row>
    <row r="18" spans="2:4" ht="14.1" customHeight="1" x14ac:dyDescent="0.25">
      <c r="B18" s="362">
        <v>2031</v>
      </c>
      <c r="C18" s="390">
        <v>0</v>
      </c>
    </row>
    <row r="19" spans="2:4" ht="14.1" customHeight="1" x14ac:dyDescent="0.25">
      <c r="B19" s="362">
        <v>2032</v>
      </c>
      <c r="C19" s="390">
        <v>0</v>
      </c>
    </row>
    <row r="20" spans="2:4" ht="14.1" customHeight="1" x14ac:dyDescent="0.25">
      <c r="B20" s="362">
        <v>2033</v>
      </c>
      <c r="C20" s="390">
        <v>0</v>
      </c>
    </row>
    <row r="21" spans="2:4" ht="14.1" customHeight="1" x14ac:dyDescent="0.25">
      <c r="B21" s="362">
        <v>2034</v>
      </c>
      <c r="C21" s="390">
        <v>0</v>
      </c>
    </row>
    <row r="22" spans="2:4" ht="14.1" customHeight="1" x14ac:dyDescent="0.25">
      <c r="B22" s="362">
        <v>2035</v>
      </c>
      <c r="C22" s="390">
        <v>0</v>
      </c>
    </row>
    <row r="23" spans="2:4" ht="14.1" customHeight="1" x14ac:dyDescent="0.25">
      <c r="B23" s="362">
        <v>2036</v>
      </c>
      <c r="C23" s="390">
        <f>-F9</f>
        <v>-2200000</v>
      </c>
      <c r="D23" s="224"/>
    </row>
    <row r="24" spans="2:4" ht="14.1" customHeight="1" x14ac:dyDescent="0.25">
      <c r="B24" s="362">
        <v>2037</v>
      </c>
      <c r="C24" s="390">
        <v>0</v>
      </c>
    </row>
    <row r="25" spans="2:4" ht="14.1" customHeight="1" x14ac:dyDescent="0.25">
      <c r="B25" s="362">
        <v>2038</v>
      </c>
      <c r="C25" s="390">
        <v>0</v>
      </c>
    </row>
    <row r="26" spans="2:4" ht="14.1" customHeight="1" x14ac:dyDescent="0.25">
      <c r="B26" s="362">
        <v>2039</v>
      </c>
      <c r="C26" s="390">
        <v>0</v>
      </c>
    </row>
    <row r="27" spans="2:4" ht="14.1" customHeight="1" x14ac:dyDescent="0.25">
      <c r="B27" s="362">
        <v>2040</v>
      </c>
      <c r="C27" s="390">
        <v>0</v>
      </c>
    </row>
    <row r="28" spans="2:4" ht="14.1" customHeight="1" thickBot="1" x14ac:dyDescent="0.3">
      <c r="B28" s="365">
        <v>2041</v>
      </c>
      <c r="C28" s="391">
        <v>0</v>
      </c>
    </row>
    <row r="29" spans="2:4" ht="14.1" customHeight="1" x14ac:dyDescent="0.25">
      <c r="B29" s="374" t="s">
        <v>231</v>
      </c>
      <c r="C29" s="257">
        <f>SUM(C4:C28)</f>
        <v>-2200000</v>
      </c>
      <c r="D29" s="395"/>
    </row>
  </sheetData>
  <mergeCells count="5">
    <mergeCell ref="E13:G15"/>
    <mergeCell ref="B2:C2"/>
    <mergeCell ref="E12:G12"/>
    <mergeCell ref="E2:G2"/>
    <mergeCell ref="E3:G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2:P29"/>
  <sheetViews>
    <sheetView workbookViewId="0">
      <selection activeCell="H23" sqref="H23"/>
    </sheetView>
  </sheetViews>
  <sheetFormatPr defaultRowHeight="16.5" x14ac:dyDescent="0.3"/>
  <cols>
    <col min="1" max="1" width="3.7109375" style="347" customWidth="1"/>
    <col min="2" max="13" width="12.7109375" style="347" customWidth="1"/>
    <col min="14" max="16384" width="9.140625" style="347"/>
  </cols>
  <sheetData>
    <row r="2" spans="2:16" ht="34.5" customHeight="1" thickBot="1" x14ac:dyDescent="0.35">
      <c r="B2" s="186" t="s">
        <v>300</v>
      </c>
      <c r="C2" s="186"/>
    </row>
    <row r="3" spans="2:16" ht="33.75" thickBot="1" x14ac:dyDescent="0.35">
      <c r="B3" s="367" t="s">
        <v>5</v>
      </c>
      <c r="C3" s="369" t="s">
        <v>299</v>
      </c>
      <c r="E3" s="154" t="s">
        <v>303</v>
      </c>
      <c r="F3" s="154"/>
      <c r="G3" s="154"/>
      <c r="H3" s="154"/>
      <c r="I3" s="154"/>
      <c r="J3" s="154"/>
      <c r="K3" s="154"/>
      <c r="L3" s="154"/>
      <c r="M3" s="154"/>
      <c r="N3" s="154"/>
      <c r="O3" s="154"/>
      <c r="P3" s="154"/>
    </row>
    <row r="4" spans="2:16" ht="14.1" customHeight="1" thickBot="1" x14ac:dyDescent="0.35">
      <c r="B4" s="361">
        <v>2017</v>
      </c>
      <c r="C4" s="389">
        <v>0</v>
      </c>
      <c r="E4" s="466" t="s">
        <v>56</v>
      </c>
      <c r="F4" s="467"/>
      <c r="G4" s="467"/>
      <c r="H4" s="73" t="s">
        <v>57</v>
      </c>
      <c r="I4" s="468" t="s">
        <v>226</v>
      </c>
      <c r="J4" s="468"/>
      <c r="K4" s="468"/>
      <c r="L4" s="468"/>
      <c r="M4" s="468"/>
      <c r="N4" s="468"/>
      <c r="O4" s="468"/>
      <c r="P4" s="469"/>
    </row>
    <row r="5" spans="2:16" ht="14.1" customHeight="1" x14ac:dyDescent="0.3">
      <c r="B5" s="362">
        <v>2018</v>
      </c>
      <c r="C5" s="390">
        <v>0</v>
      </c>
      <c r="E5" s="470" t="s">
        <v>297</v>
      </c>
      <c r="F5" s="471"/>
      <c r="G5" s="471"/>
      <c r="H5" s="355">
        <v>15000000</v>
      </c>
      <c r="I5" s="472" t="s">
        <v>309</v>
      </c>
      <c r="J5" s="472"/>
      <c r="K5" s="472"/>
      <c r="L5" s="472"/>
      <c r="M5" s="472"/>
      <c r="N5" s="472"/>
      <c r="O5" s="472"/>
      <c r="P5" s="473"/>
    </row>
    <row r="6" spans="2:16" ht="14.1" customHeight="1" x14ac:dyDescent="0.3">
      <c r="B6" s="362">
        <v>2019</v>
      </c>
      <c r="C6" s="390">
        <v>0</v>
      </c>
      <c r="E6" s="474" t="s">
        <v>298</v>
      </c>
      <c r="F6" s="475"/>
      <c r="G6" s="475"/>
      <c r="H6" s="356">
        <v>50</v>
      </c>
      <c r="I6" s="476"/>
      <c r="J6" s="476"/>
      <c r="K6" s="476"/>
      <c r="L6" s="476"/>
      <c r="M6" s="476"/>
      <c r="N6" s="476"/>
      <c r="O6" s="476"/>
      <c r="P6" s="477"/>
    </row>
    <row r="7" spans="2:16" ht="14.1" customHeight="1" x14ac:dyDescent="0.3">
      <c r="B7" s="362">
        <v>2020</v>
      </c>
      <c r="C7" s="390">
        <v>0</v>
      </c>
      <c r="E7" s="474" t="s">
        <v>301</v>
      </c>
      <c r="F7" s="475"/>
      <c r="G7" s="475"/>
      <c r="H7" s="356">
        <v>20</v>
      </c>
      <c r="I7" s="476"/>
      <c r="J7" s="476"/>
      <c r="K7" s="476"/>
      <c r="L7" s="476"/>
      <c r="M7" s="476"/>
      <c r="N7" s="476"/>
      <c r="O7" s="476"/>
      <c r="P7" s="477"/>
    </row>
    <row r="8" spans="2:16" ht="14.1" customHeight="1" x14ac:dyDescent="0.3">
      <c r="B8" s="362">
        <v>2021</v>
      </c>
      <c r="C8" s="390">
        <v>0</v>
      </c>
      <c r="E8" s="474" t="s">
        <v>302</v>
      </c>
      <c r="F8" s="475"/>
      <c r="G8" s="475"/>
      <c r="H8" s="356">
        <f>H6-H7</f>
        <v>30</v>
      </c>
      <c r="I8" s="476"/>
      <c r="J8" s="476"/>
      <c r="K8" s="476"/>
      <c r="L8" s="476"/>
      <c r="M8" s="476"/>
      <c r="N8" s="476"/>
      <c r="O8" s="476"/>
      <c r="P8" s="477"/>
    </row>
    <row r="9" spans="2:16" ht="14.1" customHeight="1" thickBot="1" x14ac:dyDescent="0.35">
      <c r="B9" s="362">
        <v>2022</v>
      </c>
      <c r="C9" s="390">
        <v>0</v>
      </c>
      <c r="E9" s="478" t="s">
        <v>299</v>
      </c>
      <c r="F9" s="479"/>
      <c r="G9" s="479"/>
      <c r="H9" s="357">
        <f>(H8/H6)*H5</f>
        <v>9000000</v>
      </c>
      <c r="I9" s="480"/>
      <c r="J9" s="480"/>
      <c r="K9" s="480"/>
      <c r="L9" s="480"/>
      <c r="M9" s="480"/>
      <c r="N9" s="480"/>
      <c r="O9" s="480"/>
      <c r="P9" s="481"/>
    </row>
    <row r="10" spans="2:16" ht="14.1" customHeight="1" x14ac:dyDescent="0.3">
      <c r="B10" s="362">
        <v>2023</v>
      </c>
      <c r="C10" s="390">
        <v>0</v>
      </c>
    </row>
    <row r="11" spans="2:16" ht="14.1" customHeight="1" x14ac:dyDescent="0.3">
      <c r="B11" s="362">
        <v>2024</v>
      </c>
      <c r="C11" s="390">
        <v>0</v>
      </c>
    </row>
    <row r="12" spans="2:16" ht="14.1" customHeight="1" x14ac:dyDescent="0.3">
      <c r="B12" s="362">
        <v>2025</v>
      </c>
      <c r="C12" s="390">
        <v>0</v>
      </c>
    </row>
    <row r="13" spans="2:16" ht="14.1" customHeight="1" x14ac:dyDescent="0.3">
      <c r="B13" s="362">
        <v>2026</v>
      </c>
      <c r="C13" s="390">
        <v>0</v>
      </c>
    </row>
    <row r="14" spans="2:16" ht="14.1" customHeight="1" x14ac:dyDescent="0.3">
      <c r="B14" s="362">
        <v>2027</v>
      </c>
      <c r="C14" s="390">
        <v>0</v>
      </c>
    </row>
    <row r="15" spans="2:16" ht="14.1" customHeight="1" x14ac:dyDescent="0.3">
      <c r="B15" s="362">
        <v>2028</v>
      </c>
      <c r="C15" s="390">
        <v>0</v>
      </c>
    </row>
    <row r="16" spans="2:16" ht="14.1" customHeight="1" x14ac:dyDescent="0.3">
      <c r="B16" s="362">
        <v>2029</v>
      </c>
      <c r="C16" s="390">
        <v>0</v>
      </c>
    </row>
    <row r="17" spans="2:3" ht="14.1" customHeight="1" x14ac:dyDescent="0.3">
      <c r="B17" s="362">
        <v>2030</v>
      </c>
      <c r="C17" s="390">
        <v>0</v>
      </c>
    </row>
    <row r="18" spans="2:3" ht="14.1" customHeight="1" x14ac:dyDescent="0.3">
      <c r="B18" s="362">
        <v>2031</v>
      </c>
      <c r="C18" s="390">
        <v>0</v>
      </c>
    </row>
    <row r="19" spans="2:3" ht="14.1" customHeight="1" x14ac:dyDescent="0.3">
      <c r="B19" s="362">
        <v>2032</v>
      </c>
      <c r="C19" s="390">
        <v>0</v>
      </c>
    </row>
    <row r="20" spans="2:3" ht="14.1" customHeight="1" x14ac:dyDescent="0.3">
      <c r="B20" s="362">
        <v>2033</v>
      </c>
      <c r="C20" s="390">
        <v>0</v>
      </c>
    </row>
    <row r="21" spans="2:3" ht="14.1" customHeight="1" x14ac:dyDescent="0.3">
      <c r="B21" s="362">
        <v>2034</v>
      </c>
      <c r="C21" s="390">
        <v>0</v>
      </c>
    </row>
    <row r="22" spans="2:3" ht="14.1" customHeight="1" x14ac:dyDescent="0.3">
      <c r="B22" s="362">
        <v>2035</v>
      </c>
      <c r="C22" s="390">
        <v>0</v>
      </c>
    </row>
    <row r="23" spans="2:3" ht="14.1" customHeight="1" x14ac:dyDescent="0.3">
      <c r="B23" s="362">
        <v>2036</v>
      </c>
      <c r="C23" s="390">
        <v>0</v>
      </c>
    </row>
    <row r="24" spans="2:3" ht="14.1" customHeight="1" x14ac:dyDescent="0.3">
      <c r="B24" s="362">
        <v>2037</v>
      </c>
      <c r="C24" s="390">
        <v>0</v>
      </c>
    </row>
    <row r="25" spans="2:3" ht="14.1" customHeight="1" x14ac:dyDescent="0.3">
      <c r="B25" s="362">
        <v>2038</v>
      </c>
      <c r="C25" s="390">
        <v>0</v>
      </c>
    </row>
    <row r="26" spans="2:3" ht="14.1" customHeight="1" x14ac:dyDescent="0.3">
      <c r="B26" s="362">
        <v>2039</v>
      </c>
      <c r="C26" s="390">
        <v>0</v>
      </c>
    </row>
    <row r="27" spans="2:3" ht="14.1" customHeight="1" x14ac:dyDescent="0.3">
      <c r="B27" s="362">
        <v>2040</v>
      </c>
      <c r="C27" s="390">
        <v>0</v>
      </c>
    </row>
    <row r="28" spans="2:3" ht="14.1" customHeight="1" thickBot="1" x14ac:dyDescent="0.35">
      <c r="B28" s="365">
        <v>2041</v>
      </c>
      <c r="C28" s="391">
        <f>H9</f>
        <v>9000000</v>
      </c>
    </row>
    <row r="29" spans="2:3" x14ac:dyDescent="0.3">
      <c r="B29" s="374" t="s">
        <v>231</v>
      </c>
      <c r="C29" s="257">
        <f>SUM(C4:C28)</f>
        <v>9000000</v>
      </c>
    </row>
  </sheetData>
  <mergeCells count="14">
    <mergeCell ref="I8:P8"/>
    <mergeCell ref="I9:P9"/>
    <mergeCell ref="E5:G5"/>
    <mergeCell ref="E6:G6"/>
    <mergeCell ref="E7:G7"/>
    <mergeCell ref="E8:G8"/>
    <mergeCell ref="E9:G9"/>
    <mergeCell ref="B2:C2"/>
    <mergeCell ref="E4:G4"/>
    <mergeCell ref="I4:P4"/>
    <mergeCell ref="I5:P5"/>
    <mergeCell ref="I6:P6"/>
    <mergeCell ref="I7:P7"/>
    <mergeCell ref="E3:P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K31"/>
  <sheetViews>
    <sheetView zoomScaleNormal="100" workbookViewId="0">
      <selection activeCell="B3" sqref="B3:G29"/>
    </sheetView>
  </sheetViews>
  <sheetFormatPr defaultColWidth="9.140625" defaultRowHeight="16.5" x14ac:dyDescent="0.25"/>
  <cols>
    <col min="1" max="1" width="3.7109375" style="360" customWidth="1"/>
    <col min="2" max="7" width="12.7109375" style="360" customWidth="1"/>
    <col min="8" max="8" width="9.140625" style="360"/>
    <col min="9" max="11" width="12.7109375" style="360" customWidth="1"/>
    <col min="12" max="16384" width="9.140625" style="360"/>
  </cols>
  <sheetData>
    <row r="2" spans="2:11" ht="17.25" thickBot="1" x14ac:dyDescent="0.3">
      <c r="B2" s="128" t="s">
        <v>304</v>
      </c>
      <c r="C2" s="128"/>
      <c r="D2" s="128"/>
      <c r="E2" s="128"/>
      <c r="F2" s="128"/>
      <c r="G2" s="128"/>
    </row>
    <row r="3" spans="2:11" s="261" customFormat="1" ht="33.75" customHeight="1" thickBot="1" x14ac:dyDescent="0.35">
      <c r="B3" s="367" t="s">
        <v>5</v>
      </c>
      <c r="C3" s="368" t="s">
        <v>0</v>
      </c>
      <c r="D3" s="368" t="s">
        <v>38</v>
      </c>
      <c r="E3" s="368" t="s">
        <v>37</v>
      </c>
      <c r="F3" s="371" t="s">
        <v>1</v>
      </c>
      <c r="G3" s="372" t="s">
        <v>7</v>
      </c>
      <c r="I3" s="182" t="s">
        <v>305</v>
      </c>
      <c r="J3" s="182"/>
      <c r="K3" s="182"/>
    </row>
    <row r="4" spans="2:11" ht="13.9" customHeight="1" thickBot="1" x14ac:dyDescent="0.3">
      <c r="B4" s="361">
        <v>2017</v>
      </c>
      <c r="C4" s="444">
        <f>K5*0.5</f>
        <v>2500000</v>
      </c>
      <c r="D4" s="444">
        <v>0</v>
      </c>
      <c r="E4" s="444">
        <v>0</v>
      </c>
      <c r="F4" s="445">
        <v>0</v>
      </c>
      <c r="G4" s="446">
        <f>SUM(C4:F4)</f>
        <v>2500000</v>
      </c>
      <c r="I4" s="196" t="s">
        <v>39</v>
      </c>
      <c r="J4" s="197"/>
      <c r="K4" s="359" t="s">
        <v>43</v>
      </c>
    </row>
    <row r="5" spans="2:11" ht="13.9" customHeight="1" x14ac:dyDescent="0.25">
      <c r="B5" s="362">
        <v>2018</v>
      </c>
      <c r="C5" s="302">
        <f>K5*0.5</f>
        <v>2500000</v>
      </c>
      <c r="D5" s="302">
        <f>SUM(K6:K7)/3</f>
        <v>4000000</v>
      </c>
      <c r="E5" s="302">
        <v>0</v>
      </c>
      <c r="F5" s="447">
        <v>0</v>
      </c>
      <c r="G5" s="448">
        <f t="shared" ref="G5:G28" si="0">SUM(C5:F5)</f>
        <v>6500000</v>
      </c>
      <c r="I5" s="449" t="s">
        <v>0</v>
      </c>
      <c r="J5" s="450"/>
      <c r="K5" s="304">
        <v>5000000</v>
      </c>
    </row>
    <row r="6" spans="2:11" ht="13.9" customHeight="1" x14ac:dyDescent="0.25">
      <c r="B6" s="362">
        <v>2019</v>
      </c>
      <c r="C6" s="302">
        <v>0</v>
      </c>
      <c r="D6" s="302">
        <f>SUM(K6:K7)*2/3</f>
        <v>8000000</v>
      </c>
      <c r="E6" s="302">
        <v>0</v>
      </c>
      <c r="F6" s="447">
        <v>0</v>
      </c>
      <c r="G6" s="448">
        <f t="shared" si="0"/>
        <v>8000000</v>
      </c>
      <c r="I6" s="451" t="s">
        <v>40</v>
      </c>
      <c r="J6" s="452"/>
      <c r="K6" s="306">
        <v>6400000</v>
      </c>
    </row>
    <row r="7" spans="2:11" ht="13.9" customHeight="1" x14ac:dyDescent="0.25">
      <c r="B7" s="362">
        <v>2020</v>
      </c>
      <c r="C7" s="302">
        <v>0</v>
      </c>
      <c r="D7" s="302">
        <v>0</v>
      </c>
      <c r="E7" s="302">
        <f>K9*0.5</f>
        <v>1500000</v>
      </c>
      <c r="F7" s="447">
        <f>K8*0.5</f>
        <v>20000000</v>
      </c>
      <c r="G7" s="448">
        <f t="shared" si="0"/>
        <v>21500000</v>
      </c>
      <c r="I7" s="451" t="s">
        <v>41</v>
      </c>
      <c r="J7" s="452"/>
      <c r="K7" s="306">
        <v>5600000</v>
      </c>
    </row>
    <row r="8" spans="2:11" ht="13.9" customHeight="1" x14ac:dyDescent="0.25">
      <c r="B8" s="362">
        <v>2021</v>
      </c>
      <c r="C8" s="305">
        <v>0</v>
      </c>
      <c r="D8" s="305">
        <v>0</v>
      </c>
      <c r="E8" s="305">
        <f>K9*0.5</f>
        <v>1500000</v>
      </c>
      <c r="F8" s="453">
        <f>K8*0.5</f>
        <v>20000000</v>
      </c>
      <c r="G8" s="448">
        <f t="shared" si="0"/>
        <v>21500000</v>
      </c>
      <c r="I8" s="451" t="s">
        <v>1</v>
      </c>
      <c r="J8" s="452"/>
      <c r="K8" s="306">
        <v>40000000</v>
      </c>
    </row>
    <row r="9" spans="2:11" ht="13.9" customHeight="1" thickBot="1" x14ac:dyDescent="0.3">
      <c r="B9" s="362">
        <v>2022</v>
      </c>
      <c r="C9" s="305">
        <v>0</v>
      </c>
      <c r="D9" s="305">
        <v>0</v>
      </c>
      <c r="E9" s="305">
        <v>0</v>
      </c>
      <c r="F9" s="453">
        <v>0</v>
      </c>
      <c r="G9" s="448">
        <f t="shared" si="0"/>
        <v>0</v>
      </c>
      <c r="I9" s="454" t="s">
        <v>42</v>
      </c>
      <c r="J9" s="455"/>
      <c r="K9" s="456">
        <v>3000000</v>
      </c>
    </row>
    <row r="10" spans="2:11" ht="13.9" customHeight="1" thickBot="1" x14ac:dyDescent="0.3">
      <c r="B10" s="362">
        <v>2023</v>
      </c>
      <c r="C10" s="305">
        <v>0</v>
      </c>
      <c r="D10" s="305">
        <v>0</v>
      </c>
      <c r="E10" s="305">
        <v>0</v>
      </c>
      <c r="F10" s="453">
        <v>0</v>
      </c>
      <c r="G10" s="448">
        <f t="shared" si="0"/>
        <v>0</v>
      </c>
      <c r="I10" s="457" t="s">
        <v>44</v>
      </c>
      <c r="J10" s="458"/>
      <c r="K10" s="459">
        <f>SUM(K5:K9)</f>
        <v>60000000</v>
      </c>
    </row>
    <row r="11" spans="2:11" ht="13.9" customHeight="1" x14ac:dyDescent="0.25">
      <c r="B11" s="362">
        <v>2024</v>
      </c>
      <c r="C11" s="305">
        <v>0</v>
      </c>
      <c r="D11" s="305">
        <v>0</v>
      </c>
      <c r="E11" s="305">
        <v>0</v>
      </c>
      <c r="F11" s="453">
        <v>0</v>
      </c>
      <c r="G11" s="448">
        <f t="shared" si="0"/>
        <v>0</v>
      </c>
    </row>
    <row r="12" spans="2:11" ht="13.9" customHeight="1" x14ac:dyDescent="0.25">
      <c r="B12" s="362">
        <v>2025</v>
      </c>
      <c r="C12" s="305">
        <v>0</v>
      </c>
      <c r="D12" s="305">
        <v>0</v>
      </c>
      <c r="E12" s="305">
        <v>0</v>
      </c>
      <c r="F12" s="453">
        <v>0</v>
      </c>
      <c r="G12" s="448">
        <f t="shared" si="0"/>
        <v>0</v>
      </c>
    </row>
    <row r="13" spans="2:11" ht="13.9" customHeight="1" x14ac:dyDescent="0.25">
      <c r="B13" s="362">
        <v>2026</v>
      </c>
      <c r="C13" s="305">
        <v>0</v>
      </c>
      <c r="D13" s="305">
        <v>0</v>
      </c>
      <c r="E13" s="305">
        <v>0</v>
      </c>
      <c r="F13" s="453">
        <v>0</v>
      </c>
      <c r="G13" s="448">
        <f t="shared" si="0"/>
        <v>0</v>
      </c>
    </row>
    <row r="14" spans="2:11" ht="13.9" customHeight="1" x14ac:dyDescent="0.25">
      <c r="B14" s="362">
        <v>2027</v>
      </c>
      <c r="C14" s="305">
        <v>0</v>
      </c>
      <c r="D14" s="305">
        <v>0</v>
      </c>
      <c r="E14" s="305">
        <v>0</v>
      </c>
      <c r="F14" s="453">
        <v>0</v>
      </c>
      <c r="G14" s="448">
        <f t="shared" si="0"/>
        <v>0</v>
      </c>
    </row>
    <row r="15" spans="2:11" ht="13.9" customHeight="1" x14ac:dyDescent="0.25">
      <c r="B15" s="362">
        <v>2028</v>
      </c>
      <c r="C15" s="305">
        <v>0</v>
      </c>
      <c r="D15" s="305">
        <v>0</v>
      </c>
      <c r="E15" s="305">
        <v>0</v>
      </c>
      <c r="F15" s="453">
        <v>0</v>
      </c>
      <c r="G15" s="448">
        <f t="shared" si="0"/>
        <v>0</v>
      </c>
    </row>
    <row r="16" spans="2:11" ht="13.9" customHeight="1" x14ac:dyDescent="0.25">
      <c r="B16" s="362">
        <v>2029</v>
      </c>
      <c r="C16" s="305">
        <v>0</v>
      </c>
      <c r="D16" s="305">
        <v>0</v>
      </c>
      <c r="E16" s="305">
        <v>0</v>
      </c>
      <c r="F16" s="453">
        <v>0</v>
      </c>
      <c r="G16" s="448">
        <f t="shared" si="0"/>
        <v>0</v>
      </c>
    </row>
    <row r="17" spans="2:7" ht="13.9" customHeight="1" x14ac:dyDescent="0.25">
      <c r="B17" s="362">
        <v>2030</v>
      </c>
      <c r="C17" s="305">
        <v>0</v>
      </c>
      <c r="D17" s="305">
        <v>0</v>
      </c>
      <c r="E17" s="305">
        <v>0</v>
      </c>
      <c r="F17" s="453">
        <v>0</v>
      </c>
      <c r="G17" s="448">
        <f t="shared" si="0"/>
        <v>0</v>
      </c>
    </row>
    <row r="18" spans="2:7" ht="13.9" customHeight="1" x14ac:dyDescent="0.25">
      <c r="B18" s="362">
        <v>2031</v>
      </c>
      <c r="C18" s="305">
        <v>0</v>
      </c>
      <c r="D18" s="305">
        <v>0</v>
      </c>
      <c r="E18" s="305">
        <v>0</v>
      </c>
      <c r="F18" s="453">
        <v>0</v>
      </c>
      <c r="G18" s="448">
        <f t="shared" si="0"/>
        <v>0</v>
      </c>
    </row>
    <row r="19" spans="2:7" ht="13.9" customHeight="1" x14ac:dyDescent="0.25">
      <c r="B19" s="362">
        <v>2032</v>
      </c>
      <c r="C19" s="305">
        <v>0</v>
      </c>
      <c r="D19" s="305">
        <v>0</v>
      </c>
      <c r="E19" s="305">
        <v>0</v>
      </c>
      <c r="F19" s="453">
        <v>0</v>
      </c>
      <c r="G19" s="448">
        <f t="shared" si="0"/>
        <v>0</v>
      </c>
    </row>
    <row r="20" spans="2:7" ht="13.9" customHeight="1" x14ac:dyDescent="0.25">
      <c r="B20" s="362">
        <v>2033</v>
      </c>
      <c r="C20" s="305">
        <v>0</v>
      </c>
      <c r="D20" s="305">
        <v>0</v>
      </c>
      <c r="E20" s="305">
        <v>0</v>
      </c>
      <c r="F20" s="453">
        <v>0</v>
      </c>
      <c r="G20" s="448">
        <f t="shared" si="0"/>
        <v>0</v>
      </c>
    </row>
    <row r="21" spans="2:7" ht="13.9" customHeight="1" x14ac:dyDescent="0.25">
      <c r="B21" s="362">
        <v>2034</v>
      </c>
      <c r="C21" s="305">
        <v>0</v>
      </c>
      <c r="D21" s="305">
        <v>0</v>
      </c>
      <c r="E21" s="305">
        <v>0</v>
      </c>
      <c r="F21" s="453">
        <v>0</v>
      </c>
      <c r="G21" s="448">
        <f t="shared" si="0"/>
        <v>0</v>
      </c>
    </row>
    <row r="22" spans="2:7" ht="13.9" customHeight="1" x14ac:dyDescent="0.25">
      <c r="B22" s="362">
        <v>2035</v>
      </c>
      <c r="C22" s="305">
        <v>0</v>
      </c>
      <c r="D22" s="305">
        <v>0</v>
      </c>
      <c r="E22" s="305">
        <v>0</v>
      </c>
      <c r="F22" s="453">
        <v>0</v>
      </c>
      <c r="G22" s="448">
        <f t="shared" si="0"/>
        <v>0</v>
      </c>
    </row>
    <row r="23" spans="2:7" ht="13.9" customHeight="1" x14ac:dyDescent="0.25">
      <c r="B23" s="362">
        <v>2036</v>
      </c>
      <c r="C23" s="305">
        <v>0</v>
      </c>
      <c r="D23" s="305">
        <v>0</v>
      </c>
      <c r="E23" s="305">
        <v>0</v>
      </c>
      <c r="F23" s="453">
        <v>0</v>
      </c>
      <c r="G23" s="448">
        <f t="shared" si="0"/>
        <v>0</v>
      </c>
    </row>
    <row r="24" spans="2:7" ht="13.9" customHeight="1" x14ac:dyDescent="0.25">
      <c r="B24" s="362">
        <v>2037</v>
      </c>
      <c r="C24" s="305">
        <v>0</v>
      </c>
      <c r="D24" s="305">
        <v>0</v>
      </c>
      <c r="E24" s="305">
        <v>0</v>
      </c>
      <c r="F24" s="453">
        <v>0</v>
      </c>
      <c r="G24" s="448">
        <f t="shared" si="0"/>
        <v>0</v>
      </c>
    </row>
    <row r="25" spans="2:7" ht="13.9" customHeight="1" x14ac:dyDescent="0.25">
      <c r="B25" s="362">
        <v>2038</v>
      </c>
      <c r="C25" s="305">
        <v>0</v>
      </c>
      <c r="D25" s="305">
        <v>0</v>
      </c>
      <c r="E25" s="305">
        <v>0</v>
      </c>
      <c r="F25" s="453">
        <v>0</v>
      </c>
      <c r="G25" s="448">
        <f t="shared" si="0"/>
        <v>0</v>
      </c>
    </row>
    <row r="26" spans="2:7" ht="13.9" customHeight="1" x14ac:dyDescent="0.25">
      <c r="B26" s="362">
        <v>2039</v>
      </c>
      <c r="C26" s="305">
        <v>0</v>
      </c>
      <c r="D26" s="305">
        <v>0</v>
      </c>
      <c r="E26" s="305">
        <v>0</v>
      </c>
      <c r="F26" s="453">
        <v>0</v>
      </c>
      <c r="G26" s="448">
        <f t="shared" si="0"/>
        <v>0</v>
      </c>
    </row>
    <row r="27" spans="2:7" ht="13.9" customHeight="1" x14ac:dyDescent="0.25">
      <c r="B27" s="366">
        <v>2040</v>
      </c>
      <c r="C27" s="305">
        <v>0</v>
      </c>
      <c r="D27" s="305">
        <v>0</v>
      </c>
      <c r="E27" s="305">
        <v>0</v>
      </c>
      <c r="F27" s="453">
        <v>0</v>
      </c>
      <c r="G27" s="448">
        <f t="shared" si="0"/>
        <v>0</v>
      </c>
    </row>
    <row r="28" spans="2:7" ht="13.9" customHeight="1" thickBot="1" x14ac:dyDescent="0.3">
      <c r="B28" s="365">
        <v>2041</v>
      </c>
      <c r="C28" s="460">
        <v>0</v>
      </c>
      <c r="D28" s="460">
        <v>0</v>
      </c>
      <c r="E28" s="460">
        <v>0</v>
      </c>
      <c r="F28" s="461">
        <v>0</v>
      </c>
      <c r="G28" s="462">
        <f t="shared" si="0"/>
        <v>0</v>
      </c>
    </row>
    <row r="29" spans="2:7" ht="13.9" customHeight="1" x14ac:dyDescent="0.25">
      <c r="C29" s="464"/>
      <c r="D29" s="464"/>
      <c r="E29" s="464"/>
      <c r="F29" s="465" t="s">
        <v>231</v>
      </c>
      <c r="G29" s="303">
        <f>SUM(G4:G28)</f>
        <v>60000000</v>
      </c>
    </row>
    <row r="30" spans="2:7" ht="13.9" customHeight="1" x14ac:dyDescent="0.25">
      <c r="B30" s="463"/>
    </row>
    <row r="31" spans="2:7" ht="13.9" customHeight="1" x14ac:dyDescent="0.25"/>
  </sheetData>
  <mergeCells count="9">
    <mergeCell ref="B2:G2"/>
    <mergeCell ref="I8:J8"/>
    <mergeCell ref="I3:K3"/>
    <mergeCell ref="I9:J9"/>
    <mergeCell ref="I10:J10"/>
    <mergeCell ref="I4:J4"/>
    <mergeCell ref="I5:J5"/>
    <mergeCell ref="I6:J6"/>
    <mergeCell ref="I7:J7"/>
  </mergeCells>
  <pageMargins left="0.7" right="0.7" top="0.75" bottom="0.75" header="0.3" footer="0.3"/>
  <pageSetup orientation="portrait" r:id="rId1"/>
  <ignoredErrors>
    <ignoredError sqref="G9:G28 D5:D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2:AA39"/>
  <sheetViews>
    <sheetView tabSelected="1" workbookViewId="0">
      <selection activeCell="O29" sqref="O29"/>
    </sheetView>
  </sheetViews>
  <sheetFormatPr defaultColWidth="9.140625" defaultRowHeight="16.5" x14ac:dyDescent="0.3"/>
  <cols>
    <col min="1" max="1" width="3.7109375" style="1" customWidth="1"/>
    <col min="2" max="2" width="12.7109375" style="37" customWidth="1"/>
    <col min="3" max="3" width="12.7109375" style="1" customWidth="1"/>
    <col min="4" max="4" width="12.7109375" style="313" customWidth="1"/>
    <col min="5" max="6" width="12.7109375" style="1" customWidth="1"/>
    <col min="7" max="7" width="12.7109375" style="313" customWidth="1"/>
    <col min="8" max="11" width="12.7109375" style="1" customWidth="1"/>
    <col min="12" max="12" width="12.7109375" style="313" customWidth="1"/>
    <col min="13" max="14" width="12.7109375" style="1" customWidth="1"/>
    <col min="15" max="15" width="12.7109375" style="313" customWidth="1"/>
    <col min="16" max="19" width="12.7109375" style="1" customWidth="1"/>
    <col min="20" max="20" width="12.7109375" style="313" customWidth="1"/>
    <col min="21" max="22" width="12.7109375" style="1" customWidth="1"/>
    <col min="23" max="23" width="12.7109375" style="313" customWidth="1"/>
    <col min="24" max="27" width="12.7109375" style="1" customWidth="1"/>
    <col min="28" max="16384" width="9.140625" style="1"/>
  </cols>
  <sheetData>
    <row r="2" spans="1:27" ht="17.25" thickBot="1" x14ac:dyDescent="0.35">
      <c r="A2" s="350"/>
      <c r="B2" s="181" t="s">
        <v>306</v>
      </c>
      <c r="C2" s="181"/>
      <c r="D2" s="181"/>
      <c r="E2" s="181"/>
      <c r="F2" s="181"/>
      <c r="G2" s="181"/>
      <c r="H2" s="181"/>
      <c r="J2" s="181" t="s">
        <v>307</v>
      </c>
      <c r="K2" s="181"/>
      <c r="L2" s="181"/>
      <c r="M2" s="181"/>
      <c r="N2" s="181"/>
      <c r="O2" s="181"/>
      <c r="P2" s="181"/>
      <c r="R2" s="181" t="s">
        <v>308</v>
      </c>
      <c r="S2" s="181"/>
      <c r="T2" s="181"/>
      <c r="U2" s="181"/>
      <c r="V2" s="181"/>
      <c r="W2" s="181"/>
      <c r="X2" s="181"/>
    </row>
    <row r="3" spans="1:27" ht="16.5" customHeight="1" x14ac:dyDescent="0.3">
      <c r="B3" s="202" t="s">
        <v>6</v>
      </c>
      <c r="C3" s="339" t="s">
        <v>59</v>
      </c>
      <c r="D3" s="340"/>
      <c r="E3" s="340"/>
      <c r="F3" s="340"/>
      <c r="G3" s="341"/>
      <c r="H3" s="204" t="s">
        <v>7</v>
      </c>
      <c r="J3" s="202" t="s">
        <v>6</v>
      </c>
      <c r="K3" s="339" t="s">
        <v>59</v>
      </c>
      <c r="L3" s="340"/>
      <c r="M3" s="340"/>
      <c r="N3" s="340"/>
      <c r="O3" s="341"/>
      <c r="P3" s="200" t="s">
        <v>7</v>
      </c>
      <c r="R3" s="198" t="s">
        <v>6</v>
      </c>
      <c r="S3" s="339" t="s">
        <v>59</v>
      </c>
      <c r="T3" s="340"/>
      <c r="U3" s="340"/>
      <c r="V3" s="340"/>
      <c r="W3" s="341"/>
      <c r="X3" s="200" t="s">
        <v>7</v>
      </c>
    </row>
    <row r="4" spans="1:27" s="2" customFormat="1" ht="50.25" thickBot="1" x14ac:dyDescent="0.3">
      <c r="B4" s="203"/>
      <c r="C4" s="23" t="s">
        <v>46</v>
      </c>
      <c r="D4" s="23" t="s">
        <v>20</v>
      </c>
      <c r="E4" s="23" t="s">
        <v>58</v>
      </c>
      <c r="F4" s="23" t="s">
        <v>274</v>
      </c>
      <c r="G4" s="337" t="s">
        <v>299</v>
      </c>
      <c r="H4" s="201"/>
      <c r="J4" s="203"/>
      <c r="K4" s="322" t="s">
        <v>46</v>
      </c>
      <c r="L4" s="354" t="s">
        <v>20</v>
      </c>
      <c r="M4" s="322" t="s">
        <v>58</v>
      </c>
      <c r="N4" s="322" t="s">
        <v>274</v>
      </c>
      <c r="O4" s="337" t="s">
        <v>299</v>
      </c>
      <c r="P4" s="201"/>
      <c r="R4" s="199"/>
      <c r="S4" s="322" t="s">
        <v>46</v>
      </c>
      <c r="T4" s="354" t="s">
        <v>20</v>
      </c>
      <c r="U4" s="322" t="s">
        <v>58</v>
      </c>
      <c r="V4" s="322" t="s">
        <v>274</v>
      </c>
      <c r="W4" s="337" t="s">
        <v>299</v>
      </c>
      <c r="X4" s="338"/>
    </row>
    <row r="5" spans="1:27" x14ac:dyDescent="0.3">
      <c r="B5" s="11">
        <v>2017</v>
      </c>
      <c r="C5" s="12">
        <f>'Travel Time Savings'!R4</f>
        <v>0</v>
      </c>
      <c r="D5" s="12">
        <f>'Safety Benefits'!X5</f>
        <v>0</v>
      </c>
      <c r="E5" s="12">
        <f>'Vehicle Operating Costs'!P4</f>
        <v>0</v>
      </c>
      <c r="F5" s="47">
        <f>'Maintenance Costs'!C4</f>
        <v>0</v>
      </c>
      <c r="G5" s="352">
        <f>'Residual Value'!C4</f>
        <v>0</v>
      </c>
      <c r="H5" s="45">
        <f>'Capital Costs'!G4</f>
        <v>2500000</v>
      </c>
      <c r="J5" s="11">
        <v>2017</v>
      </c>
      <c r="K5" s="12">
        <f>C5/1.07^($J5-2016)</f>
        <v>0</v>
      </c>
      <c r="L5" s="12">
        <f>D5/1.07^($J5-2016)</f>
        <v>0</v>
      </c>
      <c r="M5" s="12">
        <f>E5/1.07^($J5-2016)</f>
        <v>0</v>
      </c>
      <c r="N5" s="12">
        <f>F5/1.07^($J5-2016)</f>
        <v>0</v>
      </c>
      <c r="O5" s="352">
        <f>G5/1.07^($J5-2016)</f>
        <v>0</v>
      </c>
      <c r="P5" s="45">
        <f>H5/1.07^($J5-2016)</f>
        <v>2336448.5981308408</v>
      </c>
      <c r="R5" s="11">
        <v>2017</v>
      </c>
      <c r="S5" s="12">
        <f>C5/1.03^($R5-2016)</f>
        <v>0</v>
      </c>
      <c r="T5" s="12">
        <f>D5/1.03^($R5-2016)</f>
        <v>0</v>
      </c>
      <c r="U5" s="12">
        <f>E5/1.03^($R5-2016)</f>
        <v>0</v>
      </c>
      <c r="V5" s="12">
        <f>F5/1.03^($R5-2016)</f>
        <v>0</v>
      </c>
      <c r="W5" s="352">
        <f>G5/1.03^($R5-2016)</f>
        <v>0</v>
      </c>
      <c r="X5" s="45">
        <f>H5/1.03^($R5-2016)</f>
        <v>2427184.4660194176</v>
      </c>
    </row>
    <row r="6" spans="1:27" x14ac:dyDescent="0.3">
      <c r="B6" s="13">
        <v>2018</v>
      </c>
      <c r="C6" s="10">
        <f>'Travel Time Savings'!R5</f>
        <v>0</v>
      </c>
      <c r="D6" s="10">
        <f>'Safety Benefits'!X6</f>
        <v>0</v>
      </c>
      <c r="E6" s="10">
        <f>'Vehicle Operating Costs'!P5</f>
        <v>0</v>
      </c>
      <c r="F6" s="48">
        <f>'Maintenance Costs'!C5</f>
        <v>0</v>
      </c>
      <c r="G6" s="351">
        <f>'Residual Value'!C5</f>
        <v>0</v>
      </c>
      <c r="H6" s="20">
        <f>'Capital Costs'!G5</f>
        <v>6500000</v>
      </c>
      <c r="I6" s="3"/>
      <c r="J6" s="13">
        <v>2018</v>
      </c>
      <c r="K6" s="10">
        <f>C6/1.07^($J6-2016)</f>
        <v>0</v>
      </c>
      <c r="L6" s="10">
        <f>D6/1.07^($J6-2016)</f>
        <v>0</v>
      </c>
      <c r="M6" s="10">
        <f>E6/1.07^($J6-2016)</f>
        <v>0</v>
      </c>
      <c r="N6" s="10">
        <f>F6/1.07^($J6-2016)</f>
        <v>0</v>
      </c>
      <c r="O6" s="351">
        <f>G6/1.07^($J6-2016)</f>
        <v>0</v>
      </c>
      <c r="P6" s="320">
        <f>H6/1.07^($J6-2016)</f>
        <v>5677351.7337758755</v>
      </c>
      <c r="Q6" s="3"/>
      <c r="R6" s="13">
        <v>2018</v>
      </c>
      <c r="S6" s="10">
        <f>C6/1.03^($R6-2016)</f>
        <v>0</v>
      </c>
      <c r="T6" s="10">
        <f>D6/1.03^($R6-2016)</f>
        <v>0</v>
      </c>
      <c r="U6" s="10">
        <f>E6/1.03^($R6-2016)</f>
        <v>0</v>
      </c>
      <c r="V6" s="10">
        <f>F6/1.03^($R6-2016)</f>
        <v>0</v>
      </c>
      <c r="W6" s="351">
        <f>G6/1.03^($R6-2016)</f>
        <v>0</v>
      </c>
      <c r="X6" s="20">
        <f>H6/1.03^($R6-2016)</f>
        <v>6126873.4093694035</v>
      </c>
      <c r="Y6" s="3"/>
      <c r="Z6" s="3"/>
      <c r="AA6" s="3"/>
    </row>
    <row r="7" spans="1:27" x14ac:dyDescent="0.3">
      <c r="B7" s="14">
        <v>2019</v>
      </c>
      <c r="C7" s="10">
        <f>'Travel Time Savings'!R6</f>
        <v>0</v>
      </c>
      <c r="D7" s="10">
        <f>'Safety Benefits'!X7</f>
        <v>0</v>
      </c>
      <c r="E7" s="10">
        <f>'Vehicle Operating Costs'!P6</f>
        <v>0</v>
      </c>
      <c r="F7" s="48">
        <f>'Maintenance Costs'!C6</f>
        <v>0</v>
      </c>
      <c r="G7" s="351">
        <f>'Residual Value'!C6</f>
        <v>0</v>
      </c>
      <c r="H7" s="20">
        <f>'Capital Costs'!G6</f>
        <v>8000000</v>
      </c>
      <c r="I7" s="4"/>
      <c r="J7" s="14">
        <v>2019</v>
      </c>
      <c r="K7" s="10">
        <f>C7/1.07^($J7-2016)</f>
        <v>0</v>
      </c>
      <c r="L7" s="10">
        <f>D7/1.07^($J7-2016)</f>
        <v>0</v>
      </c>
      <c r="M7" s="10">
        <f>E7/1.07^($J7-2016)</f>
        <v>0</v>
      </c>
      <c r="N7" s="10">
        <f>F7/1.07^($J7-2016)</f>
        <v>0</v>
      </c>
      <c r="O7" s="351">
        <f>G7/1.07^($J7-2016)</f>
        <v>0</v>
      </c>
      <c r="P7" s="320">
        <f>H7/1.07^($J7-2016)</f>
        <v>6530383.0151268151</v>
      </c>
      <c r="Q7" s="4"/>
      <c r="R7" s="14">
        <v>2019</v>
      </c>
      <c r="S7" s="10">
        <f>C7/1.03^($R7-2016)</f>
        <v>0</v>
      </c>
      <c r="T7" s="10">
        <f>D7/1.03^($R7-2016)</f>
        <v>0</v>
      </c>
      <c r="U7" s="10">
        <f>E7/1.03^($R7-2016)</f>
        <v>0</v>
      </c>
      <c r="V7" s="10">
        <f>F7/1.03^($R7-2016)</f>
        <v>0</v>
      </c>
      <c r="W7" s="351">
        <f>G7/1.03^($R7-2016)</f>
        <v>0</v>
      </c>
      <c r="X7" s="20">
        <f>H7/1.03^($R7-2016)</f>
        <v>7321133.2748252768</v>
      </c>
      <c r="Y7" s="4"/>
      <c r="Z7" s="4"/>
      <c r="AA7" s="4"/>
    </row>
    <row r="8" spans="1:27" x14ac:dyDescent="0.3">
      <c r="B8" s="13">
        <v>2020</v>
      </c>
      <c r="C8" s="10">
        <f>'Travel Time Savings'!R7</f>
        <v>0</v>
      </c>
      <c r="D8" s="10">
        <f>'Safety Benefits'!X8</f>
        <v>0</v>
      </c>
      <c r="E8" s="10">
        <f>'Vehicle Operating Costs'!P7</f>
        <v>0</v>
      </c>
      <c r="F8" s="48">
        <f>'Maintenance Costs'!C7</f>
        <v>0</v>
      </c>
      <c r="G8" s="351">
        <f>'Residual Value'!C7</f>
        <v>0</v>
      </c>
      <c r="H8" s="20">
        <f>'Capital Costs'!G7</f>
        <v>21500000</v>
      </c>
      <c r="I8" s="4"/>
      <c r="J8" s="13">
        <v>2020</v>
      </c>
      <c r="K8" s="10">
        <f>C8/1.07^($J8-2016)</f>
        <v>0</v>
      </c>
      <c r="L8" s="10">
        <f>D8/1.07^($J8-2016)</f>
        <v>0</v>
      </c>
      <c r="M8" s="10">
        <f>E8/1.07^($J8-2016)</f>
        <v>0</v>
      </c>
      <c r="N8" s="10">
        <f>F8/1.07^($J8-2016)</f>
        <v>0</v>
      </c>
      <c r="O8" s="351">
        <f>G8/1.07^($J8-2016)</f>
        <v>0</v>
      </c>
      <c r="P8" s="320">
        <f>H8/1.07^($J8-2016)</f>
        <v>16402247.059021791</v>
      </c>
      <c r="Q8" s="4"/>
      <c r="R8" s="13">
        <v>2020</v>
      </c>
      <c r="S8" s="10">
        <f>C8/1.03^($R8-2016)</f>
        <v>0</v>
      </c>
      <c r="T8" s="10">
        <f>D8/1.03^($R8-2016)</f>
        <v>0</v>
      </c>
      <c r="U8" s="10">
        <f>E8/1.03^($R8-2016)</f>
        <v>0</v>
      </c>
      <c r="V8" s="10">
        <f>F8/1.03^($R8-2016)</f>
        <v>0</v>
      </c>
      <c r="W8" s="351">
        <f>G8/1.03^($R8-2016)</f>
        <v>0</v>
      </c>
      <c r="X8" s="20">
        <f>H8/1.03^($R8-2016)</f>
        <v>19102471.530187313</v>
      </c>
      <c r="Y8" s="4"/>
      <c r="Z8" s="4"/>
      <c r="AA8" s="4"/>
    </row>
    <row r="9" spans="1:27" x14ac:dyDescent="0.3">
      <c r="B9" s="14">
        <v>2021</v>
      </c>
      <c r="C9" s="10">
        <f>'Travel Time Savings'!R8</f>
        <v>0</v>
      </c>
      <c r="D9" s="10">
        <f>'Safety Benefits'!X9</f>
        <v>0</v>
      </c>
      <c r="E9" s="10">
        <f>'Vehicle Operating Costs'!P8</f>
        <v>0</v>
      </c>
      <c r="F9" s="48">
        <f>'Maintenance Costs'!C8</f>
        <v>0</v>
      </c>
      <c r="G9" s="351">
        <f>'Residual Value'!C8</f>
        <v>0</v>
      </c>
      <c r="H9" s="20">
        <f>'Capital Costs'!G8</f>
        <v>21500000</v>
      </c>
      <c r="I9" s="4"/>
      <c r="J9" s="14">
        <v>2021</v>
      </c>
      <c r="K9" s="10">
        <f>C9/1.07^($J9-2016)</f>
        <v>0</v>
      </c>
      <c r="L9" s="10">
        <f>D9/1.07^($J9-2016)</f>
        <v>0</v>
      </c>
      <c r="M9" s="10">
        <f>E9/1.07^($J9-2016)</f>
        <v>0</v>
      </c>
      <c r="N9" s="10">
        <f>F9/1.07^($J9-2016)</f>
        <v>0</v>
      </c>
      <c r="O9" s="351">
        <f>G9/1.07^($J9-2016)</f>
        <v>0</v>
      </c>
      <c r="P9" s="320">
        <f>H9/1.07^($J9-2016)</f>
        <v>15329202.858898869</v>
      </c>
      <c r="Q9" s="4"/>
      <c r="R9" s="14">
        <v>2021</v>
      </c>
      <c r="S9" s="10">
        <f>C9/1.03^($R9-2016)</f>
        <v>0</v>
      </c>
      <c r="T9" s="10">
        <f>D9/1.03^($R9-2016)</f>
        <v>0</v>
      </c>
      <c r="U9" s="10">
        <f>E9/1.03^($R9-2016)</f>
        <v>0</v>
      </c>
      <c r="V9" s="10">
        <f>F9/1.03^($R9-2016)</f>
        <v>0</v>
      </c>
      <c r="W9" s="351">
        <f>G9/1.03^($R9-2016)</f>
        <v>0</v>
      </c>
      <c r="X9" s="20">
        <f>H9/1.03^($R9-2016)</f>
        <v>18546088.86425953</v>
      </c>
      <c r="Y9" s="4"/>
      <c r="Z9" s="4"/>
      <c r="AA9" s="4"/>
    </row>
    <row r="10" spans="1:27" x14ac:dyDescent="0.3">
      <c r="B10" s="13">
        <v>2022</v>
      </c>
      <c r="C10" s="10">
        <f>'Travel Time Savings'!R9</f>
        <v>6551720.9638154814</v>
      </c>
      <c r="D10" s="10">
        <f>'Safety Benefits'!X10</f>
        <v>3320541.4285619017</v>
      </c>
      <c r="E10" s="10">
        <f>'Vehicle Operating Costs'!P9</f>
        <v>-487330.74339037354</v>
      </c>
      <c r="F10" s="48">
        <f>'Maintenance Costs'!C9</f>
        <v>0</v>
      </c>
      <c r="G10" s="351">
        <f>'Residual Value'!C9</f>
        <v>0</v>
      </c>
      <c r="H10" s="20">
        <f>'Capital Costs'!G9</f>
        <v>0</v>
      </c>
      <c r="I10" s="4"/>
      <c r="J10" s="13">
        <v>2022</v>
      </c>
      <c r="K10" s="10">
        <f>C10/1.07^($J10-2016)</f>
        <v>4365688.3168540727</v>
      </c>
      <c r="L10" s="10">
        <f>D10/1.07^($J10-2016)</f>
        <v>2212616.9597827969</v>
      </c>
      <c r="M10" s="10">
        <f>E10/1.07^($J10-2016)</f>
        <v>-324729.05128489574</v>
      </c>
      <c r="N10" s="10">
        <f>F10/1.07^($J10-2016)</f>
        <v>0</v>
      </c>
      <c r="O10" s="351">
        <f>G10/1.07^($J10-2016)</f>
        <v>0</v>
      </c>
      <c r="P10" s="320">
        <f>H10/1.07^($J10-2016)</f>
        <v>0</v>
      </c>
      <c r="Q10" s="4"/>
      <c r="R10" s="13">
        <v>2022</v>
      </c>
      <c r="S10" s="10">
        <f>C10/1.03^($R10-2016)</f>
        <v>5486963.1613797247</v>
      </c>
      <c r="T10" s="10">
        <f>D10/1.03^($R10-2016)</f>
        <v>2780901.1700864444</v>
      </c>
      <c r="U10" s="10">
        <f>E10/1.03^($R10-2016)</f>
        <v>-408131.82538737974</v>
      </c>
      <c r="V10" s="10">
        <f>F10/1.03^($R10-2016)</f>
        <v>0</v>
      </c>
      <c r="W10" s="351">
        <f>G10/1.03^($R10-2016)</f>
        <v>0</v>
      </c>
      <c r="X10" s="20">
        <f>H10/1.03^($R10-2016)</f>
        <v>0</v>
      </c>
      <c r="Y10" s="4"/>
      <c r="Z10" s="4"/>
      <c r="AA10" s="4"/>
    </row>
    <row r="11" spans="1:27" x14ac:dyDescent="0.3">
      <c r="B11" s="14">
        <v>2023</v>
      </c>
      <c r="C11" s="10">
        <f>'Travel Time Savings'!R10</f>
        <v>6566949.1164760347</v>
      </c>
      <c r="D11" s="10">
        <f>'Safety Benefits'!X11</f>
        <v>3328841.5602981616</v>
      </c>
      <c r="E11" s="10">
        <f>'Vehicle Operating Costs'!P10</f>
        <v>-508304.34930716653</v>
      </c>
      <c r="F11" s="48">
        <f>'Maintenance Costs'!C10</f>
        <v>0</v>
      </c>
      <c r="G11" s="351">
        <f>'Residual Value'!C10</f>
        <v>0</v>
      </c>
      <c r="H11" s="20">
        <f>'Capital Costs'!G10</f>
        <v>0</v>
      </c>
      <c r="I11" s="4"/>
      <c r="J11" s="14">
        <v>2023</v>
      </c>
      <c r="K11" s="10">
        <f>C11/1.07^($J11-2016)</f>
        <v>4089565.8672546945</v>
      </c>
      <c r="L11" s="10">
        <f>D11/1.07^($J11-2016)</f>
        <v>2073035.2224503797</v>
      </c>
      <c r="M11" s="10">
        <f>E11/1.07^($J11-2016)</f>
        <v>-316546.40232985298</v>
      </c>
      <c r="N11" s="10">
        <f>F11/1.07^($J11-2016)</f>
        <v>0</v>
      </c>
      <c r="O11" s="351">
        <f>G11/1.07^($J11-2016)</f>
        <v>0</v>
      </c>
      <c r="P11" s="320">
        <f>H11/1.07^($J11-2016)</f>
        <v>0</v>
      </c>
      <c r="Q11" s="4"/>
      <c r="R11" s="14">
        <v>2023</v>
      </c>
      <c r="S11" s="10">
        <f>C11/1.03^($R11-2016)</f>
        <v>5339530.5820304006</v>
      </c>
      <c r="T11" s="10">
        <f>D11/1.03^($R11-2016)</f>
        <v>2706652.8152854</v>
      </c>
      <c r="U11" s="10">
        <f>E11/1.03^($R11-2016)</f>
        <v>-413297.95160056406</v>
      </c>
      <c r="V11" s="10">
        <f>F11/1.03^($R11-2016)</f>
        <v>0</v>
      </c>
      <c r="W11" s="351">
        <f>G11/1.03^($R11-2016)</f>
        <v>0</v>
      </c>
      <c r="X11" s="20">
        <f>H11/1.03^($R11-2016)</f>
        <v>0</v>
      </c>
      <c r="Y11" s="4"/>
      <c r="Z11" s="4"/>
      <c r="AA11" s="4"/>
    </row>
    <row r="12" spans="1:27" x14ac:dyDescent="0.3">
      <c r="B12" s="13">
        <v>2024</v>
      </c>
      <c r="C12" s="10">
        <f>'Travel Time Savings'!R11</f>
        <v>6582177.26913659</v>
      </c>
      <c r="D12" s="10">
        <f>'Safety Benefits'!X12</f>
        <v>3337141.692034421</v>
      </c>
      <c r="E12" s="10">
        <f>'Vehicle Operating Costs'!P11</f>
        <v>-529277.9552239594</v>
      </c>
      <c r="F12" s="48">
        <f>'Maintenance Costs'!C11</f>
        <v>0</v>
      </c>
      <c r="G12" s="351">
        <f>'Residual Value'!C11</f>
        <v>0</v>
      </c>
      <c r="H12" s="20">
        <f>'Capital Costs'!G11</f>
        <v>0</v>
      </c>
      <c r="I12" s="4"/>
      <c r="J12" s="13">
        <v>2024</v>
      </c>
      <c r="K12" s="10">
        <f>C12/1.07^($J12-2016)</f>
        <v>3830887.0984985367</v>
      </c>
      <c r="L12" s="10">
        <f>D12/1.07^($J12-2016)</f>
        <v>1942246.8479876106</v>
      </c>
      <c r="M12" s="10">
        <f>E12/1.07^($J12-2016)</f>
        <v>-308044.5887859111</v>
      </c>
      <c r="N12" s="10">
        <f>F12/1.07^($J12-2016)</f>
        <v>0</v>
      </c>
      <c r="O12" s="351">
        <f>G12/1.07^($J12-2016)</f>
        <v>0</v>
      </c>
      <c r="P12" s="320">
        <f>H12/1.07^($J12-2016)</f>
        <v>0</v>
      </c>
      <c r="Q12" s="4"/>
      <c r="R12" s="13">
        <v>2024</v>
      </c>
      <c r="S12" s="10">
        <f>C12/1.03^($R12-2016)</f>
        <v>5196031.5181477079</v>
      </c>
      <c r="T12" s="10">
        <f>D12/1.03^($R12-2016)</f>
        <v>2634370.4679060043</v>
      </c>
      <c r="U12" s="10">
        <f>E12/1.03^($R12-2016)</f>
        <v>-417816.9053725914</v>
      </c>
      <c r="V12" s="10">
        <f>F12/1.03^($R12-2016)</f>
        <v>0</v>
      </c>
      <c r="W12" s="351">
        <f>G12/1.03^($R12-2016)</f>
        <v>0</v>
      </c>
      <c r="X12" s="20">
        <f>H12/1.03^($R12-2016)</f>
        <v>0</v>
      </c>
      <c r="Y12" s="4"/>
      <c r="Z12" s="4"/>
      <c r="AA12" s="4"/>
    </row>
    <row r="13" spans="1:27" x14ac:dyDescent="0.3">
      <c r="B13" s="14">
        <v>2025</v>
      </c>
      <c r="C13" s="10">
        <f>'Travel Time Savings'!R12</f>
        <v>6597405.4217971433</v>
      </c>
      <c r="D13" s="10">
        <f>'Safety Benefits'!X13</f>
        <v>3345441.8237706809</v>
      </c>
      <c r="E13" s="10">
        <f>'Vehicle Operating Costs'!P12</f>
        <v>-550251.5611407524</v>
      </c>
      <c r="F13" s="48">
        <f>'Maintenance Costs'!C12</f>
        <v>0</v>
      </c>
      <c r="G13" s="351">
        <f>'Residual Value'!C12</f>
        <v>0</v>
      </c>
      <c r="H13" s="20">
        <f>'Capital Costs'!G12</f>
        <v>0</v>
      </c>
      <c r="J13" s="14">
        <v>2025</v>
      </c>
      <c r="K13" s="10">
        <f>C13/1.07^($J13-2016)</f>
        <v>3588551.4224230698</v>
      </c>
      <c r="L13" s="10">
        <f>D13/1.07^($J13-2016)</f>
        <v>1819698.6918011243</v>
      </c>
      <c r="M13" s="10">
        <f>E13/1.07^($J13-2016)</f>
        <v>-299300.3910140596</v>
      </c>
      <c r="N13" s="10">
        <f>F13/1.07^($J13-2016)</f>
        <v>0</v>
      </c>
      <c r="O13" s="351">
        <f>G13/1.07^($J13-2016)</f>
        <v>0</v>
      </c>
      <c r="P13" s="320">
        <f>H13/1.07^($J13-2016)</f>
        <v>0</v>
      </c>
      <c r="R13" s="14">
        <v>2025</v>
      </c>
      <c r="S13" s="10">
        <f>C13/1.03^($R13-2016)</f>
        <v>5056361.9053198947</v>
      </c>
      <c r="T13" s="10">
        <f>D13/1.03^($R13-2016)</f>
        <v>2564002.5908200289</v>
      </c>
      <c r="U13" s="10">
        <f>E13/1.03^($R13-2016)</f>
        <v>-421722.00345647492</v>
      </c>
      <c r="V13" s="10">
        <f>F13/1.03^($R13-2016)</f>
        <v>0</v>
      </c>
      <c r="W13" s="351">
        <f>G13/1.03^($R13-2016)</f>
        <v>0</v>
      </c>
      <c r="X13" s="20">
        <f>H13/1.03^($R13-2016)</f>
        <v>0</v>
      </c>
    </row>
    <row r="14" spans="1:27" x14ac:dyDescent="0.3">
      <c r="B14" s="13">
        <v>2026</v>
      </c>
      <c r="C14" s="10">
        <f>'Travel Time Savings'!R13</f>
        <v>6612633.5744576966</v>
      </c>
      <c r="D14" s="10">
        <f>'Safety Benefits'!X14</f>
        <v>3353741.9555069427</v>
      </c>
      <c r="E14" s="10">
        <f>'Vehicle Operating Costs'!P13</f>
        <v>-571225.16705754539</v>
      </c>
      <c r="F14" s="48">
        <f>'Maintenance Costs'!C13</f>
        <v>0</v>
      </c>
      <c r="G14" s="351">
        <f>'Residual Value'!C13</f>
        <v>0</v>
      </c>
      <c r="H14" s="20">
        <f>'Capital Costs'!G13</f>
        <v>0</v>
      </c>
      <c r="J14" s="13">
        <v>2026</v>
      </c>
      <c r="K14" s="10">
        <f>C14/1.07^($J14-2016)</f>
        <v>3361527.5967218387</v>
      </c>
      <c r="L14" s="10">
        <f>D14/1.07^($J14-2016)</f>
        <v>1704872.3490844585</v>
      </c>
      <c r="M14" s="10">
        <f>E14/1.07^($J14-2016)</f>
        <v>-290381.90932323912</v>
      </c>
      <c r="N14" s="10">
        <f>F14/1.07^($J14-2016)</f>
        <v>0</v>
      </c>
      <c r="O14" s="351">
        <f>G14/1.07^($J14-2016)</f>
        <v>0</v>
      </c>
      <c r="P14" s="320">
        <f>H14/1.07^($J14-2016)</f>
        <v>0</v>
      </c>
      <c r="R14" s="13">
        <v>2026</v>
      </c>
      <c r="S14" s="10">
        <f>C14/1.03^($R14-2016)</f>
        <v>4920420.4041957529</v>
      </c>
      <c r="T14" s="10">
        <f>D14/1.03^($R14-2016)</f>
        <v>2495498.9812265597</v>
      </c>
      <c r="U14" s="10">
        <f>E14/1.03^($R14-2016)</f>
        <v>-425045.17084338481</v>
      </c>
      <c r="V14" s="10">
        <f>F14/1.03^($R14-2016)</f>
        <v>0</v>
      </c>
      <c r="W14" s="351">
        <f>G14/1.03^($R14-2016)</f>
        <v>0</v>
      </c>
      <c r="X14" s="20">
        <f>H14/1.03^($R14-2016)</f>
        <v>0</v>
      </c>
    </row>
    <row r="15" spans="1:27" x14ac:dyDescent="0.3">
      <c r="B15" s="14">
        <v>2027</v>
      </c>
      <c r="C15" s="10">
        <f>'Travel Time Savings'!R14</f>
        <v>6627861.72711825</v>
      </c>
      <c r="D15" s="10">
        <f>'Safety Benefits'!X15</f>
        <v>3362042.0872432012</v>
      </c>
      <c r="E15" s="10">
        <f>'Vehicle Operating Costs'!P14</f>
        <v>-592198.77297433827</v>
      </c>
      <c r="F15" s="48">
        <f>'Maintenance Costs'!C14</f>
        <v>0</v>
      </c>
      <c r="G15" s="351">
        <f>'Residual Value'!C14</f>
        <v>0</v>
      </c>
      <c r="H15" s="20">
        <f>'Capital Costs'!G14</f>
        <v>0</v>
      </c>
      <c r="J15" s="14">
        <v>2027</v>
      </c>
      <c r="K15" s="10">
        <f>C15/1.07^($J15-2016)</f>
        <v>3148849.3620068692</v>
      </c>
      <c r="L15" s="10">
        <f>D15/1.07^($J15-2016)</f>
        <v>1597281.9768011312</v>
      </c>
      <c r="M15" s="10">
        <f>E15/1.07^($J15-2016)</f>
        <v>-281349.37106967595</v>
      </c>
      <c r="N15" s="10">
        <f>F15/1.07^($J15-2016)</f>
        <v>0</v>
      </c>
      <c r="O15" s="351">
        <f>G15/1.07^($J15-2016)</f>
        <v>0</v>
      </c>
      <c r="P15" s="320">
        <f>H15/1.07^($J15-2016)</f>
        <v>0</v>
      </c>
      <c r="R15" s="14">
        <v>2027</v>
      </c>
      <c r="S15" s="10">
        <f>C15/1.03^($R15-2016)</f>
        <v>4788108.330024844</v>
      </c>
      <c r="T15" s="10">
        <f>D15/1.03^($R15-2016)</f>
        <v>2428810.736645001</v>
      </c>
      <c r="U15" s="10">
        <f>E15/1.03^($R15-2016)</f>
        <v>-427816.99357234203</v>
      </c>
      <c r="V15" s="10">
        <f>F15/1.03^($R15-2016)</f>
        <v>0</v>
      </c>
      <c r="W15" s="351">
        <f>G15/1.03^($R15-2016)</f>
        <v>0</v>
      </c>
      <c r="X15" s="20">
        <f>H15/1.03^($R15-2016)</f>
        <v>0</v>
      </c>
    </row>
    <row r="16" spans="1:27" x14ac:dyDescent="0.3">
      <c r="B16" s="13">
        <v>2028</v>
      </c>
      <c r="C16" s="10">
        <f>'Travel Time Savings'!R15</f>
        <v>6643089.8797788043</v>
      </c>
      <c r="D16" s="10">
        <f>'Safety Benefits'!X16</f>
        <v>3370342.2189794625</v>
      </c>
      <c r="E16" s="10">
        <f>'Vehicle Operating Costs'!P15</f>
        <v>-613172.37889113126</v>
      </c>
      <c r="F16" s="48">
        <f>'Maintenance Costs'!C15</f>
        <v>0</v>
      </c>
      <c r="G16" s="351">
        <f>'Residual Value'!C15</f>
        <v>0</v>
      </c>
      <c r="H16" s="20">
        <f>'Capital Costs'!G15</f>
        <v>0</v>
      </c>
      <c r="J16" s="13">
        <v>2028</v>
      </c>
      <c r="K16" s="10">
        <f>C16/1.07^($J16-2016)</f>
        <v>2949611.3529328876</v>
      </c>
      <c r="L16" s="10">
        <f>D16/1.07^($J16-2016)</f>
        <v>1496472.2519608384</v>
      </c>
      <c r="M16" s="10">
        <f>E16/1.07^($J16-2016)</f>
        <v>-272255.86930375366</v>
      </c>
      <c r="N16" s="10">
        <f>F16/1.07^($J16-2016)</f>
        <v>0</v>
      </c>
      <c r="O16" s="351">
        <f>G16/1.07^($J16-2016)</f>
        <v>0</v>
      </c>
      <c r="P16" s="320">
        <f>H16/1.07^($J16-2016)</f>
        <v>0</v>
      </c>
      <c r="R16" s="13">
        <v>2028</v>
      </c>
      <c r="S16" s="10">
        <f>C16/1.03^($R16-2016)</f>
        <v>4659329.5839904109</v>
      </c>
      <c r="T16" s="10">
        <f>D16/1.03^($R16-2016)</f>
        <v>2363890.2217571349</v>
      </c>
      <c r="U16" s="10">
        <f>E16/1.03^($R16-2016)</f>
        <v>-430066.76964430202</v>
      </c>
      <c r="V16" s="10">
        <f>F16/1.03^($R16-2016)</f>
        <v>0</v>
      </c>
      <c r="W16" s="351">
        <f>G16/1.03^($R16-2016)</f>
        <v>0</v>
      </c>
      <c r="X16" s="20">
        <f>H16/1.03^($R16-2016)</f>
        <v>0</v>
      </c>
    </row>
    <row r="17" spans="2:24" x14ac:dyDescent="0.3">
      <c r="B17" s="14">
        <v>2029</v>
      </c>
      <c r="C17" s="10">
        <f>'Travel Time Savings'!R16</f>
        <v>6658318.0324393585</v>
      </c>
      <c r="D17" s="10">
        <f>'Safety Benefits'!X17</f>
        <v>3378642.3507157229</v>
      </c>
      <c r="E17" s="10">
        <f>'Vehicle Operating Costs'!P16</f>
        <v>-634145.98480792425</v>
      </c>
      <c r="F17" s="48">
        <f>'Maintenance Costs'!C16</f>
        <v>0</v>
      </c>
      <c r="G17" s="351">
        <f>'Residual Value'!C16</f>
        <v>0</v>
      </c>
      <c r="H17" s="20">
        <f>'Capital Costs'!G16</f>
        <v>0</v>
      </c>
      <c r="J17" s="14">
        <v>2029</v>
      </c>
      <c r="K17" s="10">
        <f>C17/1.07^($J17-2016)</f>
        <v>2762965.2661974924</v>
      </c>
      <c r="L17" s="10">
        <f>D17/1.07^($J17-2016)</f>
        <v>1402016.4576775809</v>
      </c>
      <c r="M17" s="10">
        <f>E17/1.07^($J17-2016)</f>
        <v>-263148.03846655326</v>
      </c>
      <c r="N17" s="10">
        <f>F17/1.07^($J17-2016)</f>
        <v>0</v>
      </c>
      <c r="O17" s="351">
        <f>G17/1.07^($J17-2016)</f>
        <v>0</v>
      </c>
      <c r="P17" s="320">
        <f>H17/1.07^($J17-2016)</f>
        <v>0</v>
      </c>
      <c r="R17" s="14">
        <v>2029</v>
      </c>
      <c r="S17" s="10">
        <f>C17/1.03^($R17-2016)</f>
        <v>4533990.5862903213</v>
      </c>
      <c r="T17" s="10">
        <f>D17/1.03^($R17-2016)</f>
        <v>2300691.036077572</v>
      </c>
      <c r="U17" s="10">
        <f>E17/1.03^($R17-2016)</f>
        <v>-431822.55810624943</v>
      </c>
      <c r="V17" s="10">
        <f>F17/1.03^($R17-2016)</f>
        <v>0</v>
      </c>
      <c r="W17" s="351">
        <f>G17/1.03^($R17-2016)</f>
        <v>0</v>
      </c>
      <c r="X17" s="20">
        <f>H17/1.03^($R17-2016)</f>
        <v>0</v>
      </c>
    </row>
    <row r="18" spans="2:24" x14ac:dyDescent="0.3">
      <c r="B18" s="13">
        <v>2030</v>
      </c>
      <c r="C18" s="10">
        <f>'Travel Time Savings'!R17</f>
        <v>6673546.1850999119</v>
      </c>
      <c r="D18" s="10">
        <f>'Safety Benefits'!X18</f>
        <v>3386942.4824519875</v>
      </c>
      <c r="E18" s="10">
        <f>'Vehicle Operating Costs'!P17</f>
        <v>-655119.59072471724</v>
      </c>
      <c r="F18" s="48">
        <f>'Maintenance Costs'!C17</f>
        <v>0</v>
      </c>
      <c r="G18" s="351">
        <f>'Residual Value'!C17</f>
        <v>0</v>
      </c>
      <c r="H18" s="20">
        <f>'Capital Costs'!G17</f>
        <v>0</v>
      </c>
      <c r="J18" s="13">
        <v>2030</v>
      </c>
      <c r="K18" s="10">
        <f>C18/1.07^($J18-2016)</f>
        <v>2588116.2693071417</v>
      </c>
      <c r="L18" s="10">
        <f>D18/1.07^($J18-2016)</f>
        <v>1313514.6890288992</v>
      </c>
      <c r="M18" s="10">
        <f>E18/1.07^($J18-2016)</f>
        <v>-254066.67221125891</v>
      </c>
      <c r="N18" s="10">
        <f>F18/1.07^($J18-2016)</f>
        <v>0</v>
      </c>
      <c r="O18" s="351">
        <f>G18/1.07^($J18-2016)</f>
        <v>0</v>
      </c>
      <c r="P18" s="320">
        <f>H18/1.07^($J18-2016)</f>
        <v>0</v>
      </c>
      <c r="R18" s="13">
        <v>2030</v>
      </c>
      <c r="S18" s="10">
        <f>C18/1.03^($R18-2016)</f>
        <v>4412000.2109224712</v>
      </c>
      <c r="T18" s="10">
        <f>D18/1.03^($R18-2016)</f>
        <v>2239167.9824325251</v>
      </c>
      <c r="U18" s="10">
        <f>E18/1.03^($R18-2016)</f>
        <v>-433111.22636871692</v>
      </c>
      <c r="V18" s="10">
        <f>F18/1.03^($R18-2016)</f>
        <v>0</v>
      </c>
      <c r="W18" s="351">
        <f>G18/1.03^($R18-2016)</f>
        <v>0</v>
      </c>
      <c r="X18" s="20">
        <f>H18/1.03^($R18-2016)</f>
        <v>0</v>
      </c>
    </row>
    <row r="19" spans="2:24" x14ac:dyDescent="0.3">
      <c r="B19" s="14">
        <v>2031</v>
      </c>
      <c r="C19" s="10">
        <f>'Travel Time Savings'!R18</f>
        <v>6688774.3377604652</v>
      </c>
      <c r="D19" s="10">
        <f>'Safety Benefits'!X19</f>
        <v>3395242.6141882488</v>
      </c>
      <c r="E19" s="10">
        <f>'Vehicle Operating Costs'!P18</f>
        <v>-676093.19664151024</v>
      </c>
      <c r="F19" s="48">
        <f>'Maintenance Costs'!C18</f>
        <v>0</v>
      </c>
      <c r="G19" s="351">
        <f>'Residual Value'!C18</f>
        <v>0</v>
      </c>
      <c r="H19" s="20">
        <f>'Capital Costs'!G18</f>
        <v>0</v>
      </c>
      <c r="J19" s="14">
        <v>2031</v>
      </c>
      <c r="K19" s="10">
        <f>C19/1.07^($J19-2016)</f>
        <v>2424319.6350072408</v>
      </c>
      <c r="L19" s="10">
        <f>D19/1.07^($J19-2016)</f>
        <v>1230592.1712326505</v>
      </c>
      <c r="M19" s="10">
        <f>E19/1.07^($J19-2016)</f>
        <v>-245047.28802999455</v>
      </c>
      <c r="N19" s="10">
        <f>F19/1.07^($J19-2016)</f>
        <v>0</v>
      </c>
      <c r="O19" s="351">
        <f>G19/1.07^($J19-2016)</f>
        <v>0</v>
      </c>
      <c r="P19" s="320">
        <f>H19/1.07^($J19-2016)</f>
        <v>0</v>
      </c>
      <c r="R19" s="14">
        <v>2031</v>
      </c>
      <c r="S19" s="10">
        <f>C19/1.03^($R19-2016)</f>
        <v>4293269.7221321231</v>
      </c>
      <c r="T19" s="10">
        <f>D19/1.03^($R19-2016)</f>
        <v>2179277.0362271918</v>
      </c>
      <c r="U19" s="10">
        <f>E19/1.03^($R19-2016)</f>
        <v>-433958.49581799173</v>
      </c>
      <c r="V19" s="10">
        <f>F19/1.03^($R19-2016)</f>
        <v>0</v>
      </c>
      <c r="W19" s="351">
        <f>G19/1.03^($R19-2016)</f>
        <v>0</v>
      </c>
      <c r="X19" s="20">
        <f>H19/1.03^($R19-2016)</f>
        <v>0</v>
      </c>
    </row>
    <row r="20" spans="2:24" x14ac:dyDescent="0.3">
      <c r="B20" s="13">
        <v>2032</v>
      </c>
      <c r="C20" s="10">
        <f>'Travel Time Savings'!R19</f>
        <v>6704002.4904210195</v>
      </c>
      <c r="D20" s="10">
        <f>'Safety Benefits'!X20</f>
        <v>3403542.7459245119</v>
      </c>
      <c r="E20" s="10">
        <f>'Vehicle Operating Costs'!P19</f>
        <v>-697066.80255830311</v>
      </c>
      <c r="F20" s="48">
        <f>'Maintenance Costs'!C19</f>
        <v>0</v>
      </c>
      <c r="G20" s="351">
        <f>'Residual Value'!C19</f>
        <v>0</v>
      </c>
      <c r="H20" s="20">
        <f>'Capital Costs'!G19</f>
        <v>0</v>
      </c>
      <c r="J20" s="13">
        <v>2032</v>
      </c>
      <c r="K20" s="10">
        <f>C20/1.07^($J20-2016)</f>
        <v>2270877.5872201547</v>
      </c>
      <c r="L20" s="10">
        <f>D20/1.07^($J20-2016)</f>
        <v>1152897.6831242677</v>
      </c>
      <c r="M20" s="10">
        <f>E20/1.07^($J20-2016)</f>
        <v>-236120.64300194729</v>
      </c>
      <c r="N20" s="10">
        <f>F20/1.07^($J20-2016)</f>
        <v>0</v>
      </c>
      <c r="O20" s="351">
        <f>G20/1.07^($J20-2016)</f>
        <v>0</v>
      </c>
      <c r="P20" s="320">
        <f>H20/1.07^($J20-2016)</f>
        <v>0</v>
      </c>
      <c r="R20" s="13">
        <v>2032</v>
      </c>
      <c r="S20" s="10">
        <f>C20/1.03^($R20-2016)</f>
        <v>4177712.712479691</v>
      </c>
      <c r="T20" s="10">
        <f>D20/1.03^($R20-2016)</f>
        <v>2120975.3154826015</v>
      </c>
      <c r="U20" s="10">
        <f>E20/1.03^($R20-2016)</f>
        <v>-434388.98578220955</v>
      </c>
      <c r="V20" s="10">
        <f>F20/1.03^($R20-2016)</f>
        <v>0</v>
      </c>
      <c r="W20" s="351">
        <f>G20/1.03^($R20-2016)</f>
        <v>0</v>
      </c>
      <c r="X20" s="20">
        <f>H20/1.03^($R20-2016)</f>
        <v>0</v>
      </c>
    </row>
    <row r="21" spans="2:24" x14ac:dyDescent="0.3">
      <c r="B21" s="14">
        <v>2033</v>
      </c>
      <c r="C21" s="10">
        <f>'Travel Time Savings'!R20</f>
        <v>6719230.6430815728</v>
      </c>
      <c r="D21" s="10">
        <f>'Safety Benefits'!X21</f>
        <v>3411842.8776607742</v>
      </c>
      <c r="E21" s="10">
        <f>'Vehicle Operating Costs'!P20</f>
        <v>-718040.4084750961</v>
      </c>
      <c r="F21" s="48">
        <f>'Maintenance Costs'!C20</f>
        <v>0</v>
      </c>
      <c r="G21" s="351">
        <f>'Residual Value'!C20</f>
        <v>0</v>
      </c>
      <c r="H21" s="20">
        <f>'Capital Costs'!G20</f>
        <v>0</v>
      </c>
      <c r="J21" s="14">
        <v>2033</v>
      </c>
      <c r="K21" s="10">
        <f>C21/1.07^($J21-2016)</f>
        <v>2127136.3452213197</v>
      </c>
      <c r="L21" s="10">
        <f>D21/1.07^($J21-2016)</f>
        <v>1080102.0793547751</v>
      </c>
      <c r="M21" s="10">
        <f>E21/1.07^($J21-2016)</f>
        <v>-227313.20464160421</v>
      </c>
      <c r="N21" s="10">
        <f>F21/1.07^($J21-2016)</f>
        <v>0</v>
      </c>
      <c r="O21" s="351">
        <f>G21/1.07^($J21-2016)</f>
        <v>0</v>
      </c>
      <c r="P21" s="320">
        <f>H21/1.07^($J21-2016)</f>
        <v>0</v>
      </c>
      <c r="R21" s="14">
        <v>2033</v>
      </c>
      <c r="S21" s="10">
        <f>C21/1.03^($R21-2016)</f>
        <v>4065245.0424884898</v>
      </c>
      <c r="T21" s="10">
        <f>D21/1.03^($R21-2016)</f>
        <v>2064221.0516231181</v>
      </c>
      <c r="U21" s="10">
        <f>E21/1.03^($R21-2016)</f>
        <v>-434426.25590853038</v>
      </c>
      <c r="V21" s="10">
        <f>F21/1.03^($R21-2016)</f>
        <v>0</v>
      </c>
      <c r="W21" s="351">
        <f>G21/1.03^($R21-2016)</f>
        <v>0</v>
      </c>
      <c r="X21" s="20">
        <f>H21/1.03^($R21-2016)</f>
        <v>0</v>
      </c>
    </row>
    <row r="22" spans="2:24" x14ac:dyDescent="0.3">
      <c r="B22" s="13">
        <v>2034</v>
      </c>
      <c r="C22" s="10">
        <f>'Travel Time Savings'!R21</f>
        <v>6734458.7957421271</v>
      </c>
      <c r="D22" s="10">
        <f>'Safety Benefits'!X22</f>
        <v>3420143.0093970364</v>
      </c>
      <c r="E22" s="10">
        <f>'Vehicle Operating Costs'!P21</f>
        <v>-739014.01439188921</v>
      </c>
      <c r="F22" s="48">
        <f>'Maintenance Costs'!C21</f>
        <v>0</v>
      </c>
      <c r="G22" s="351">
        <f>'Residual Value'!C21</f>
        <v>0</v>
      </c>
      <c r="H22" s="20">
        <f>'Capital Costs'!G21</f>
        <v>0</v>
      </c>
      <c r="J22" s="13">
        <v>2034</v>
      </c>
      <c r="K22" s="10">
        <f>C22/1.07^($J22-2016)</f>
        <v>1992483.3536147003</v>
      </c>
      <c r="L22" s="10">
        <f>D22/1.07^($J22-2016)</f>
        <v>1011896.9051401441</v>
      </c>
      <c r="M22" s="10">
        <f>E22/1.07^($J22-2016)</f>
        <v>-218647.58051453033</v>
      </c>
      <c r="N22" s="10">
        <f>F22/1.07^($J22-2016)</f>
        <v>0</v>
      </c>
      <c r="O22" s="351">
        <f>G22/1.07^($J22-2016)</f>
        <v>0</v>
      </c>
      <c r="P22" s="320">
        <f>H22/1.07^($J22-2016)</f>
        <v>0</v>
      </c>
      <c r="R22" s="13">
        <v>2034</v>
      </c>
      <c r="S22" s="10">
        <f>C22/1.03^($R22-2016)</f>
        <v>3955784.7818329707</v>
      </c>
      <c r="T22" s="10">
        <f>D22/1.03^($R22-2016)</f>
        <v>2008973.5609963445</v>
      </c>
      <c r="U22" s="10">
        <f>E22/1.03^($R22-2016)</f>
        <v>-434092.84700665768</v>
      </c>
      <c r="V22" s="10">
        <f>F22/1.03^($R22-2016)</f>
        <v>0</v>
      </c>
      <c r="W22" s="351">
        <f>G22/1.03^($R22-2016)</f>
        <v>0</v>
      </c>
      <c r="X22" s="20">
        <f>H22/1.03^($R22-2016)</f>
        <v>0</v>
      </c>
    </row>
    <row r="23" spans="2:24" x14ac:dyDescent="0.3">
      <c r="B23" s="14">
        <v>2035</v>
      </c>
      <c r="C23" s="10">
        <f>'Travel Time Savings'!R22</f>
        <v>6749686.9484026814</v>
      </c>
      <c r="D23" s="10">
        <f>'Safety Benefits'!X23</f>
        <v>3428443.1411333</v>
      </c>
      <c r="E23" s="10">
        <f>'Vehicle Operating Costs'!P22</f>
        <v>-759987.62030868209</v>
      </c>
      <c r="F23" s="48">
        <f>'Maintenance Costs'!C22</f>
        <v>0</v>
      </c>
      <c r="G23" s="351">
        <f>'Residual Value'!C22</f>
        <v>0</v>
      </c>
      <c r="H23" s="20">
        <f>'Capital Costs'!G22</f>
        <v>0</v>
      </c>
      <c r="J23" s="14">
        <v>2035</v>
      </c>
      <c r="K23" s="10">
        <f>C23/1.07^($J23-2016)</f>
        <v>1866344.6864478455</v>
      </c>
      <c r="L23" s="10">
        <f>D23/1.07^($J23-2016)</f>
        <v>947993.09777721507</v>
      </c>
      <c r="M23" s="10">
        <f>E23/1.07^($J23-2016)</f>
        <v>-210142.9100004285</v>
      </c>
      <c r="N23" s="10">
        <f>F23/1.07^($J23-2016)</f>
        <v>0</v>
      </c>
      <c r="O23" s="351">
        <f>G23/1.07^($J23-2016)</f>
        <v>0</v>
      </c>
      <c r="P23" s="320">
        <f>H23/1.07^($J23-2016)</f>
        <v>0</v>
      </c>
      <c r="R23" s="14">
        <v>2035</v>
      </c>
      <c r="S23" s="10">
        <f>C23/1.03^($R23-2016)</f>
        <v>3849252.1520288717</v>
      </c>
      <c r="T23" s="10">
        <f>D23/1.03^($R23-2016)</f>
        <v>1955193.2171075055</v>
      </c>
      <c r="U23" s="10">
        <f>E23/1.03^($R23-2016)</f>
        <v>-433410.32041208813</v>
      </c>
      <c r="V23" s="10">
        <f>F23/1.03^($R23-2016)</f>
        <v>0</v>
      </c>
      <c r="W23" s="351">
        <f>G23/1.03^($R23-2016)</f>
        <v>0</v>
      </c>
      <c r="X23" s="20">
        <f>H23/1.03^($R23-2016)</f>
        <v>0</v>
      </c>
    </row>
    <row r="24" spans="2:24" x14ac:dyDescent="0.3">
      <c r="B24" s="13">
        <v>2036</v>
      </c>
      <c r="C24" s="10">
        <f>'Travel Time Savings'!R23</f>
        <v>6764915.1010632347</v>
      </c>
      <c r="D24" s="10">
        <f>'Safety Benefits'!X24</f>
        <v>3436743.2728695599</v>
      </c>
      <c r="E24" s="10">
        <f>'Vehicle Operating Costs'!P23</f>
        <v>-780961.22622547508</v>
      </c>
      <c r="F24" s="48">
        <f>'Maintenance Costs'!C23</f>
        <v>-2200000</v>
      </c>
      <c r="G24" s="351">
        <f>'Residual Value'!C23</f>
        <v>0</v>
      </c>
      <c r="H24" s="20">
        <f>'Capital Costs'!G23</f>
        <v>0</v>
      </c>
      <c r="J24" s="13">
        <v>2036</v>
      </c>
      <c r="K24" s="10">
        <f>C24/1.07^($J24-2016)</f>
        <v>1748182.6145372428</v>
      </c>
      <c r="L24" s="10">
        <f>D24/1.07^($J24-2016)</f>
        <v>888119.76950222312</v>
      </c>
      <c r="M24" s="10">
        <f>E24/1.07^($J24-2016)</f>
        <v>-201815.2213174834</v>
      </c>
      <c r="N24" s="10">
        <f>F24/1.07^($J24-2016)</f>
        <v>-568521.8061905111</v>
      </c>
      <c r="O24" s="351">
        <f>G24/1.07^($J24-2016)</f>
        <v>0</v>
      </c>
      <c r="P24" s="320">
        <f>H24/1.07^($J24-2016)</f>
        <v>0</v>
      </c>
      <c r="R24" s="13">
        <v>2036</v>
      </c>
      <c r="S24" s="10">
        <f>C24/1.03^($R24-2016)</f>
        <v>3745569.4705877127</v>
      </c>
      <c r="T24" s="10">
        <f>D24/1.03^($R24-2016)</f>
        <v>1902841.4235508668</v>
      </c>
      <c r="U24" s="10">
        <f>E24/1.03^($R24-2016)</f>
        <v>-432399.29592067486</v>
      </c>
      <c r="V24" s="10">
        <f>F24/1.03^($R24-2016)</f>
        <v>-1218086.6592099369</v>
      </c>
      <c r="W24" s="351">
        <f>G24/1.03^($R24-2016)</f>
        <v>0</v>
      </c>
      <c r="X24" s="20">
        <f>H24/1.03^($R24-2016)</f>
        <v>0</v>
      </c>
    </row>
    <row r="25" spans="2:24" x14ac:dyDescent="0.3">
      <c r="B25" s="14">
        <v>2037</v>
      </c>
      <c r="C25" s="10">
        <f>'Travel Time Savings'!R24</f>
        <v>6780143.2537237881</v>
      </c>
      <c r="D25" s="10">
        <f>'Safety Benefits'!X25</f>
        <v>3445043.404605825</v>
      </c>
      <c r="E25" s="10">
        <f>'Vehicle Operating Costs'!P24</f>
        <v>-801934.83214226807</v>
      </c>
      <c r="F25" s="48">
        <f>'Maintenance Costs'!C24</f>
        <v>0</v>
      </c>
      <c r="G25" s="351">
        <f>'Residual Value'!C24</f>
        <v>0</v>
      </c>
      <c r="H25" s="20">
        <f>'Capital Costs'!G24</f>
        <v>0</v>
      </c>
      <c r="J25" s="14">
        <v>2037</v>
      </c>
      <c r="K25" s="10">
        <f>C25/1.07^($J25-2016)</f>
        <v>1637493.3257593275</v>
      </c>
      <c r="L25" s="10">
        <f>D25/1.07^($J25-2016)</f>
        <v>832023.06660629204</v>
      </c>
      <c r="M25" s="10">
        <f>E25/1.07^($J25-2016)</f>
        <v>-193677.75667655334</v>
      </c>
      <c r="N25" s="10">
        <f>F25/1.07^($J25-2016)</f>
        <v>0</v>
      </c>
      <c r="O25" s="351">
        <f>G25/1.07^($J25-2016)</f>
        <v>0</v>
      </c>
      <c r="P25" s="320">
        <f>H25/1.07^($J25-2016)</f>
        <v>0</v>
      </c>
      <c r="R25" s="14">
        <v>2037</v>
      </c>
      <c r="S25" s="10">
        <f>C25/1.03^($R25-2016)</f>
        <v>3644661.0965989418</v>
      </c>
      <c r="T25" s="10">
        <f>D25/1.03^($R25-2016)</f>
        <v>1851880.587621155</v>
      </c>
      <c r="U25" s="10">
        <f>E25/1.03^($R25-2016)</f>
        <v>-431079.48834433232</v>
      </c>
      <c r="V25" s="10">
        <f>F25/1.03^($R25-2016)</f>
        <v>0</v>
      </c>
      <c r="W25" s="351">
        <f>G25/1.03^($R25-2016)</f>
        <v>0</v>
      </c>
      <c r="X25" s="20">
        <f>H25/1.03^($R25-2016)</f>
        <v>0</v>
      </c>
    </row>
    <row r="26" spans="2:24" x14ac:dyDescent="0.3">
      <c r="B26" s="13">
        <v>2038</v>
      </c>
      <c r="C26" s="10">
        <f>'Travel Time Savings'!R25</f>
        <v>6795371.4063843414</v>
      </c>
      <c r="D26" s="10">
        <f>'Safety Benefits'!X26</f>
        <v>3453343.5363420881</v>
      </c>
      <c r="E26" s="10">
        <f>'Vehicle Operating Costs'!P25</f>
        <v>-822908.43805906095</v>
      </c>
      <c r="F26" s="48">
        <f>'Maintenance Costs'!C25</f>
        <v>0</v>
      </c>
      <c r="G26" s="351">
        <f>'Residual Value'!C25</f>
        <v>0</v>
      </c>
      <c r="H26" s="20">
        <f>'Capital Costs'!G25</f>
        <v>0</v>
      </c>
      <c r="J26" s="13">
        <v>2038</v>
      </c>
      <c r="K26" s="10">
        <f>C26/1.07^($J26-2016)</f>
        <v>1533804.788704444</v>
      </c>
      <c r="L26" s="10">
        <f>D26/1.07^($J26-2016)</f>
        <v>779465.10003951553</v>
      </c>
      <c r="M26" s="10">
        <f>E26/1.07^($J26-2016)</f>
        <v>-185741.26820712793</v>
      </c>
      <c r="N26" s="10">
        <f>F26/1.07^($J26-2016)</f>
        <v>0</v>
      </c>
      <c r="O26" s="351">
        <f>G26/1.07^($J26-2016)</f>
        <v>0</v>
      </c>
      <c r="P26" s="320">
        <f>H26/1.07^($J26-2016)</f>
        <v>0</v>
      </c>
      <c r="R26" s="13">
        <v>2038</v>
      </c>
      <c r="S26" s="10">
        <f>C26/1.03^($R26-2016)</f>
        <v>3546453.3777039363</v>
      </c>
      <c r="T26" s="10">
        <f>D26/1.03^($R26-2016)</f>
        <v>1802274.0945882841</v>
      </c>
      <c r="U26" s="10">
        <f>E26/1.03^($R26-2016)</f>
        <v>-429469.74273602554</v>
      </c>
      <c r="V26" s="10">
        <f>F26/1.03^($R26-2016)</f>
        <v>0</v>
      </c>
      <c r="W26" s="351">
        <f>G26/1.03^($R26-2016)</f>
        <v>0</v>
      </c>
      <c r="X26" s="20">
        <f>H26/1.03^($R26-2016)</f>
        <v>0</v>
      </c>
    </row>
    <row r="27" spans="2:24" x14ac:dyDescent="0.3">
      <c r="B27" s="13">
        <v>2039</v>
      </c>
      <c r="C27" s="10">
        <f>'Travel Time Savings'!R26</f>
        <v>6810599.5590448966</v>
      </c>
      <c r="D27" s="10">
        <f>'Safety Benefits'!X27</f>
        <v>3461643.6680783532</v>
      </c>
      <c r="E27" s="10">
        <f>'Vehicle Operating Costs'!P26</f>
        <v>-843882.04397585394</v>
      </c>
      <c r="F27" s="48">
        <f>'Maintenance Costs'!C26</f>
        <v>0</v>
      </c>
      <c r="G27" s="351">
        <f>'Residual Value'!C26</f>
        <v>0</v>
      </c>
      <c r="H27" s="20">
        <f>'Capital Costs'!G26</f>
        <v>0</v>
      </c>
      <c r="J27" s="13">
        <v>2039</v>
      </c>
      <c r="K27" s="10">
        <f>C27/1.07^($J27-2016)</f>
        <v>1436674.7506927969</v>
      </c>
      <c r="L27" s="10">
        <f>D27/1.07^($J27-2016)</f>
        <v>730222.94303281652</v>
      </c>
      <c r="M27" s="10">
        <f>E27/1.07^($J27-2016)</f>
        <v>-178014.28708769364</v>
      </c>
      <c r="N27" s="10">
        <f>F27/1.07^($J27-2016)</f>
        <v>0</v>
      </c>
      <c r="O27" s="351">
        <f>G27/1.07^($J27-2016)</f>
        <v>0</v>
      </c>
      <c r="P27" s="320">
        <f>H27/1.07^($J27-2016)</f>
        <v>0</v>
      </c>
      <c r="R27" s="13">
        <v>2039</v>
      </c>
      <c r="S27" s="10">
        <f>C27/1.03^($R27-2016)</f>
        <v>3450874.598426966</v>
      </c>
      <c r="T27" s="10">
        <f>D27/1.03^($R27-2016)</f>
        <v>1753986.2826192023</v>
      </c>
      <c r="U27" s="10">
        <f>E27/1.03^($R27-2016)</f>
        <v>-427588.06833054993</v>
      </c>
      <c r="V27" s="10">
        <f>F27/1.03^($R27-2016)</f>
        <v>0</v>
      </c>
      <c r="W27" s="351">
        <f>G27/1.03^($R27-2016)</f>
        <v>0</v>
      </c>
      <c r="X27" s="20">
        <f>H27/1.03^($R27-2016)</f>
        <v>0</v>
      </c>
    </row>
    <row r="28" spans="2:24" x14ac:dyDescent="0.3">
      <c r="B28" s="14">
        <v>2040</v>
      </c>
      <c r="C28" s="10">
        <f>'Travel Time Savings'!R27</f>
        <v>6825827.71170545</v>
      </c>
      <c r="D28" s="10">
        <f>'Safety Benefits'!X28</f>
        <v>3469943.7998146187</v>
      </c>
      <c r="E28" s="10">
        <f>'Vehicle Operating Costs'!P27</f>
        <v>-864855.64989264694</v>
      </c>
      <c r="F28" s="48">
        <f>'Maintenance Costs'!C27</f>
        <v>0</v>
      </c>
      <c r="G28" s="351">
        <f>'Residual Value'!C27</f>
        <v>0</v>
      </c>
      <c r="H28" s="20">
        <f>'Capital Costs'!G27</f>
        <v>0</v>
      </c>
      <c r="J28" s="14">
        <v>2040</v>
      </c>
      <c r="K28" s="10">
        <f>C28/1.07^($J28-2016)</f>
        <v>1345688.8617155566</v>
      </c>
      <c r="L28" s="10">
        <f>D28/1.07^($J28-2016)</f>
        <v>684087.69154573488</v>
      </c>
      <c r="M28" s="10">
        <f>E28/1.07^($J28-2016)</f>
        <v>-170503.36811995495</v>
      </c>
      <c r="N28" s="10">
        <f>F28/1.07^($J28-2016)</f>
        <v>0</v>
      </c>
      <c r="O28" s="351">
        <f>G28/1.07^($J28-2016)</f>
        <v>0</v>
      </c>
      <c r="P28" s="320">
        <f>H28/1.07^($J28-2016)</f>
        <v>0</v>
      </c>
      <c r="R28" s="14">
        <v>2040</v>
      </c>
      <c r="S28" s="10">
        <f>C28/1.03^($R28-2016)</f>
        <v>3357854.9298290261</v>
      </c>
      <c r="T28" s="10">
        <f>D28/1.03^($R28-2016)</f>
        <v>1706982.4183309202</v>
      </c>
      <c r="U28" s="10">
        <f>E28/1.03^($R28-2016)</f>
        <v>-425451.67124602449</v>
      </c>
      <c r="V28" s="10">
        <f>F28/1.03^($R28-2016)</f>
        <v>0</v>
      </c>
      <c r="W28" s="351">
        <f>G28/1.03^($R28-2016)</f>
        <v>0</v>
      </c>
      <c r="X28" s="20">
        <f>H28/1.03^($R28-2016)</f>
        <v>0</v>
      </c>
    </row>
    <row r="29" spans="2:24" ht="17.25" thickBot="1" x14ac:dyDescent="0.35">
      <c r="B29" s="15">
        <v>2041</v>
      </c>
      <c r="C29" s="16">
        <f>'Travel Time Savings'!R28</f>
        <v>6841055.8643656345</v>
      </c>
      <c r="D29" s="16">
        <f>'Safety Benefits'!X29</f>
        <v>3478243.9315509209</v>
      </c>
      <c r="E29" s="16">
        <f>'Vehicle Operating Costs'!P28</f>
        <v>-885829.25580926822</v>
      </c>
      <c r="F29" s="49">
        <f>'Maintenance Costs'!C28</f>
        <v>0</v>
      </c>
      <c r="G29" s="353">
        <f>'Residual Value'!C28</f>
        <v>9000000</v>
      </c>
      <c r="H29" s="46">
        <f>'Capital Costs'!G28</f>
        <v>0</v>
      </c>
      <c r="J29" s="15">
        <v>2041</v>
      </c>
      <c r="K29" s="16">
        <f>C29/1.07^($J29-2016)</f>
        <v>1260458.9163930619</v>
      </c>
      <c r="L29" s="16">
        <f>D29/1.07^($J29-2016)</f>
        <v>640863.5836099782</v>
      </c>
      <c r="M29" s="16">
        <f>E29/1.07^($J29-2016)</f>
        <v>-163213.31180799523</v>
      </c>
      <c r="N29" s="16">
        <f>F29/1.07^($J29-2016)</f>
        <v>0</v>
      </c>
      <c r="O29" s="353">
        <f>G29/1.07^($J29-2016)</f>
        <v>1658242.5977001563</v>
      </c>
      <c r="P29" s="321">
        <f>H29/1.07^($J29-2016)</f>
        <v>0</v>
      </c>
      <c r="R29" s="15">
        <v>2041</v>
      </c>
      <c r="S29" s="16">
        <f>C29/1.03^($R29-2016)</f>
        <v>3267326.3804511642</v>
      </c>
      <c r="T29" s="16">
        <f>D29/1.03^($R29-2016)</f>
        <v>1661228.6729592907</v>
      </c>
      <c r="U29" s="16">
        <f>E29/1.03^($R29-2016)</f>
        <v>-423076.98598941788</v>
      </c>
      <c r="V29" s="16">
        <f>F29/1.03^($R29-2016)</f>
        <v>0</v>
      </c>
      <c r="W29" s="353">
        <f>G29/1.03^($R29-2016)</f>
        <v>4298450.1233549369</v>
      </c>
      <c r="X29" s="46">
        <f>H29/1.03^($R29-2016)</f>
        <v>0</v>
      </c>
    </row>
    <row r="30" spans="2:24" ht="17.25" thickBot="1" x14ac:dyDescent="0.35">
      <c r="B30" s="5"/>
      <c r="C30" s="8"/>
      <c r="D30" s="318"/>
      <c r="E30" s="8"/>
      <c r="F30" s="8"/>
      <c r="G30" s="318"/>
      <c r="H30" s="8"/>
    </row>
    <row r="31" spans="2:24" ht="17.25" thickBot="1" x14ac:dyDescent="0.35">
      <c r="B31" s="5"/>
      <c r="C31" s="8"/>
      <c r="D31" s="318"/>
      <c r="E31" s="8"/>
      <c r="F31" s="9" t="s">
        <v>8</v>
      </c>
      <c r="G31" s="319"/>
      <c r="H31" s="17">
        <f>SUM(C5:G29)</f>
        <v>194984021.89094427</v>
      </c>
      <c r="N31" s="6" t="s">
        <v>15</v>
      </c>
      <c r="O31" s="316"/>
      <c r="P31" s="21">
        <f>SUM(K5:O29)</f>
        <v>72118908.613365889</v>
      </c>
      <c r="V31" s="6" t="s">
        <v>17</v>
      </c>
      <c r="W31" s="316"/>
      <c r="X31" s="21">
        <f>SUM(S5:W29)</f>
        <v>123800750.11250308</v>
      </c>
    </row>
    <row r="32" spans="2:24" ht="17.25" thickBot="1" x14ac:dyDescent="0.35">
      <c r="B32" s="5"/>
      <c r="C32" s="8"/>
      <c r="D32" s="318"/>
      <c r="E32" s="8"/>
      <c r="F32" s="9" t="s">
        <v>9</v>
      </c>
      <c r="G32" s="319"/>
      <c r="H32" s="18">
        <f>SUM(H5:H29)</f>
        <v>60000000</v>
      </c>
      <c r="N32" s="6" t="s">
        <v>16</v>
      </c>
      <c r="O32" s="316"/>
      <c r="P32" s="18">
        <f>SUM(P5:P29)</f>
        <v>46275633.264954194</v>
      </c>
      <c r="V32" s="6" t="s">
        <v>18</v>
      </c>
      <c r="W32" s="316"/>
      <c r="X32" s="18">
        <f>SUM(X5:X29)</f>
        <v>53523751.544660941</v>
      </c>
    </row>
    <row r="33" spans="2:24" ht="17.25" thickBot="1" x14ac:dyDescent="0.35">
      <c r="B33" s="5"/>
    </row>
    <row r="34" spans="2:24" ht="17.25" thickBot="1" x14ac:dyDescent="0.35">
      <c r="F34" s="7" t="s">
        <v>2</v>
      </c>
      <c r="G34" s="317"/>
      <c r="H34" s="22">
        <f>H31/H32</f>
        <v>3.2497336981824043</v>
      </c>
      <c r="N34" s="7" t="s">
        <v>12</v>
      </c>
      <c r="O34" s="317"/>
      <c r="P34" s="22">
        <f>P31/P32</f>
        <v>1.5584640020039124</v>
      </c>
      <c r="V34" s="7" t="s">
        <v>14</v>
      </c>
      <c r="W34" s="317"/>
      <c r="X34" s="22">
        <f>X31/X32</f>
        <v>2.31300584394205</v>
      </c>
    </row>
    <row r="35" spans="2:24" ht="17.25" thickBot="1" x14ac:dyDescent="0.35"/>
    <row r="36" spans="2:24" ht="17.25" thickBot="1" x14ac:dyDescent="0.35">
      <c r="B36" s="5"/>
      <c r="F36" s="7" t="s">
        <v>10</v>
      </c>
      <c r="G36" s="317"/>
      <c r="H36" s="19">
        <f>H31-H32</f>
        <v>134984021.89094427</v>
      </c>
      <c r="N36" s="7" t="s">
        <v>11</v>
      </c>
      <c r="O36" s="317"/>
      <c r="P36" s="19">
        <f>P31-P32</f>
        <v>25843275.348411694</v>
      </c>
      <c r="V36" s="7" t="s">
        <v>13</v>
      </c>
      <c r="W36" s="317"/>
      <c r="X36" s="19">
        <f>X31-X32</f>
        <v>70276998.567842141</v>
      </c>
    </row>
    <row r="37" spans="2:24" x14ac:dyDescent="0.3">
      <c r="C37" s="4"/>
      <c r="D37" s="315"/>
      <c r="E37" s="4"/>
      <c r="F37" s="4"/>
      <c r="G37" s="315"/>
      <c r="K37" s="4"/>
      <c r="L37" s="315"/>
      <c r="M37" s="4"/>
      <c r="N37" s="4"/>
      <c r="O37" s="315"/>
      <c r="S37" s="4"/>
      <c r="T37" s="315"/>
      <c r="U37" s="4"/>
      <c r="V37" s="4"/>
      <c r="W37" s="315"/>
    </row>
    <row r="39" spans="2:24" x14ac:dyDescent="0.3">
      <c r="C39" s="349"/>
      <c r="D39" s="349"/>
      <c r="E39" s="349"/>
      <c r="K39" s="349"/>
      <c r="L39" s="349"/>
      <c r="M39" s="349"/>
      <c r="S39" s="349"/>
      <c r="T39" s="349"/>
      <c r="U39" s="349"/>
    </row>
  </sheetData>
  <mergeCells count="12">
    <mergeCell ref="B3:B4"/>
    <mergeCell ref="H3:H4"/>
    <mergeCell ref="B2:H2"/>
    <mergeCell ref="J2:P2"/>
    <mergeCell ref="J3:J4"/>
    <mergeCell ref="P3:P4"/>
    <mergeCell ref="C3:G3"/>
    <mergeCell ref="K3:O3"/>
    <mergeCell ref="R2:X2"/>
    <mergeCell ref="R3:R4"/>
    <mergeCell ref="X3:X4"/>
    <mergeCell ref="S3:W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Traffic</vt:lpstr>
      <vt:lpstr>Travel Time Savings</vt:lpstr>
      <vt:lpstr>Safety Benefits</vt:lpstr>
      <vt:lpstr>Vehicle Operating Costs</vt:lpstr>
      <vt:lpstr>Maintenance Costs</vt:lpstr>
      <vt:lpstr>Residual Value</vt:lpstr>
      <vt:lpstr>Capital Costs</vt:lpstr>
      <vt:lpstr>BC Summary</vt:lpstr>
    </vt:vector>
  </TitlesOfParts>
  <Company>ahtd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Travis</dc:creator>
  <cp:lastModifiedBy>Brooks, Travis</cp:lastModifiedBy>
  <dcterms:created xsi:type="dcterms:W3CDTF">2017-10-05T14:47:35Z</dcterms:created>
  <dcterms:modified xsi:type="dcterms:W3CDTF">2017-10-16T20:09:39Z</dcterms:modified>
</cp:coreProperties>
</file>