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21075" windowHeight="10290" activeTab="3"/>
  </bookViews>
  <sheets>
    <sheet name="Traffic – VMT" sheetId="7" r:id="rId1"/>
    <sheet name="Safety Benefits" sheetId="16" r:id="rId2"/>
    <sheet name="Net O&amp;M" sheetId="2" r:id="rId3"/>
    <sheet name="Capital Costs" sheetId="1" r:id="rId4"/>
    <sheet name="BC Summary" sheetId="8" r:id="rId5"/>
  </sheets>
  <calcPr calcId="145621"/>
</workbook>
</file>

<file path=xl/calcChain.xml><?xml version="1.0" encoding="utf-8"?>
<calcChain xmlns="http://schemas.openxmlformats.org/spreadsheetml/2006/main">
  <c r="E27" i="2" l="1"/>
  <c r="L5" i="1" l="1"/>
  <c r="L7" i="1" s="1"/>
  <c r="L17" i="1"/>
  <c r="L18" i="1" s="1"/>
  <c r="N42" i="16"/>
  <c r="F40" i="16"/>
  <c r="H40" i="16" s="1"/>
  <c r="F41" i="16"/>
  <c r="H41" i="16" s="1"/>
  <c r="F39" i="16"/>
  <c r="H39" i="16" s="1"/>
  <c r="F38" i="16"/>
  <c r="G42" i="16"/>
  <c r="H42" i="16" s="1"/>
  <c r="E38" i="16"/>
  <c r="E6" i="16"/>
  <c r="F6" i="16"/>
  <c r="G6" i="16"/>
  <c r="H6" i="16"/>
  <c r="E7" i="16"/>
  <c r="F7" i="16"/>
  <c r="G7" i="16"/>
  <c r="H7" i="16"/>
  <c r="E8" i="16"/>
  <c r="F8" i="16"/>
  <c r="G8" i="16"/>
  <c r="H8" i="16"/>
  <c r="E9" i="16"/>
  <c r="F9" i="16"/>
  <c r="G9" i="16"/>
  <c r="H9" i="16"/>
  <c r="E10" i="16"/>
  <c r="F10" i="16"/>
  <c r="G10" i="16"/>
  <c r="H10" i="16"/>
  <c r="E11" i="16"/>
  <c r="F11" i="16"/>
  <c r="G11" i="16"/>
  <c r="H11" i="16"/>
  <c r="E12" i="16"/>
  <c r="F12" i="16"/>
  <c r="G12" i="16"/>
  <c r="H12" i="16"/>
  <c r="E13" i="16"/>
  <c r="F13" i="16"/>
  <c r="G13" i="16"/>
  <c r="H13" i="16"/>
  <c r="E14" i="16"/>
  <c r="F14" i="16"/>
  <c r="G14" i="16"/>
  <c r="H14" i="16"/>
  <c r="E15" i="16"/>
  <c r="F15" i="16"/>
  <c r="G15" i="16"/>
  <c r="H15" i="16"/>
  <c r="E16" i="16"/>
  <c r="F16" i="16"/>
  <c r="G16" i="16"/>
  <c r="H16" i="16"/>
  <c r="E17" i="16"/>
  <c r="F17" i="16"/>
  <c r="G17" i="16"/>
  <c r="H17" i="16"/>
  <c r="E18" i="16"/>
  <c r="F18" i="16"/>
  <c r="G18" i="16"/>
  <c r="H18" i="16"/>
  <c r="E19" i="16"/>
  <c r="F19" i="16"/>
  <c r="G19" i="16"/>
  <c r="H19" i="16"/>
  <c r="E20" i="16"/>
  <c r="F20" i="16"/>
  <c r="G20" i="16"/>
  <c r="H20" i="16"/>
  <c r="E21" i="16"/>
  <c r="F21" i="16"/>
  <c r="G21" i="16"/>
  <c r="H21" i="16"/>
  <c r="E22" i="16"/>
  <c r="F22" i="16"/>
  <c r="G22" i="16"/>
  <c r="H22" i="16"/>
  <c r="E23" i="16"/>
  <c r="F23" i="16"/>
  <c r="G23" i="16"/>
  <c r="H23" i="16"/>
  <c r="E24" i="16"/>
  <c r="F24" i="16"/>
  <c r="G24" i="16"/>
  <c r="H24" i="16"/>
  <c r="E25" i="16"/>
  <c r="F25" i="16"/>
  <c r="G25" i="16"/>
  <c r="H25" i="16"/>
  <c r="E26" i="16"/>
  <c r="F26" i="16"/>
  <c r="G26" i="16"/>
  <c r="H26" i="16"/>
  <c r="E27" i="16"/>
  <c r="F27" i="16"/>
  <c r="G27" i="16"/>
  <c r="H27" i="16"/>
  <c r="E28" i="16"/>
  <c r="F28" i="16"/>
  <c r="G28" i="16"/>
  <c r="H28" i="16"/>
  <c r="H5" i="16"/>
  <c r="G5" i="16"/>
  <c r="F5" i="16"/>
  <c r="E5" i="16"/>
  <c r="D6" i="16"/>
  <c r="D7" i="16"/>
  <c r="D8" i="16"/>
  <c r="D9" i="16"/>
  <c r="D10" i="16"/>
  <c r="D11" i="16"/>
  <c r="D12" i="16"/>
  <c r="D13" i="16"/>
  <c r="D14" i="16"/>
  <c r="D15" i="16"/>
  <c r="D16" i="16"/>
  <c r="D17" i="16"/>
  <c r="D18" i="16"/>
  <c r="D19" i="16"/>
  <c r="D20" i="16"/>
  <c r="D21" i="16"/>
  <c r="D22" i="16"/>
  <c r="D23" i="16"/>
  <c r="D24" i="16"/>
  <c r="D25" i="16"/>
  <c r="D26" i="16"/>
  <c r="D27" i="16"/>
  <c r="D28" i="16"/>
  <c r="D5" i="16"/>
  <c r="L20" i="1" l="1"/>
  <c r="L23" i="1" s="1"/>
  <c r="L24" i="1" s="1"/>
  <c r="L21" i="1"/>
  <c r="L22" i="1"/>
  <c r="L9" i="1"/>
  <c r="L10" i="1"/>
  <c r="L11" i="1"/>
  <c r="H38" i="16"/>
  <c r="L12" i="1" l="1"/>
  <c r="L13" i="1" s="1"/>
  <c r="L26" i="1" s="1"/>
  <c r="E4" i="7"/>
  <c r="F4" i="7"/>
  <c r="K4" i="7"/>
  <c r="L4" i="7"/>
  <c r="O4" i="7" l="1"/>
  <c r="N4" i="7"/>
  <c r="P4" i="7" s="1"/>
  <c r="Q4" i="7" s="1"/>
  <c r="C5" i="16" s="1"/>
  <c r="O5" i="16" l="1"/>
  <c r="V5" i="16" s="1"/>
  <c r="AC5" i="16" s="1"/>
  <c r="L5" i="16"/>
  <c r="S5" i="16" s="1"/>
  <c r="Z5" i="16" s="1"/>
  <c r="M5" i="16"/>
  <c r="T5" i="16" s="1"/>
  <c r="AA5" i="16" s="1"/>
  <c r="N5" i="16"/>
  <c r="U5" i="16" s="1"/>
  <c r="AB5" i="16" s="1"/>
  <c r="K5" i="16"/>
  <c r="R5" i="16" s="1"/>
  <c r="Y5" i="16" s="1"/>
  <c r="AD5" i="16" l="1"/>
  <c r="J73" i="7"/>
  <c r="I55" i="7"/>
  <c r="H55" i="7"/>
  <c r="I46" i="7"/>
  <c r="H44" i="7"/>
  <c r="H42" i="7"/>
  <c r="I5" i="7"/>
  <c r="I73" i="7"/>
  <c r="C5" i="7"/>
  <c r="G73" i="7"/>
  <c r="G55" i="7"/>
  <c r="F55" i="7"/>
  <c r="G46" i="7"/>
  <c r="F44" i="7"/>
  <c r="F42" i="7"/>
  <c r="C4" i="8" l="1"/>
  <c r="H4" i="8" s="1"/>
  <c r="F56" i="7"/>
  <c r="F57" i="7" s="1"/>
  <c r="E5" i="7"/>
  <c r="F5" i="7"/>
  <c r="I6" i="7"/>
  <c r="K5" i="7"/>
  <c r="L5" i="7"/>
  <c r="H56" i="7"/>
  <c r="H57" i="7" s="1"/>
  <c r="G61" i="7"/>
  <c r="I61" i="7"/>
  <c r="C6" i="7"/>
  <c r="H46" i="7"/>
  <c r="F46" i="7"/>
  <c r="O5" i="7" l="1"/>
  <c r="N5" i="7"/>
  <c r="I7" i="7"/>
  <c r="K6" i="7"/>
  <c r="L6" i="7"/>
  <c r="C7" i="7"/>
  <c r="E6" i="7"/>
  <c r="F6" i="7"/>
  <c r="F61" i="7"/>
  <c r="F62" i="7" s="1"/>
  <c r="F63" i="7" s="1"/>
  <c r="F47" i="7"/>
  <c r="F48" i="7" s="1"/>
  <c r="H61" i="7"/>
  <c r="H62" i="7" s="1"/>
  <c r="H63" i="7" s="1"/>
  <c r="H47" i="7"/>
  <c r="H48" i="7" s="1"/>
  <c r="P5" i="7" l="1"/>
  <c r="Q5" i="7" s="1"/>
  <c r="C6" i="16" s="1"/>
  <c r="L6" i="16" s="1"/>
  <c r="S6" i="16" s="1"/>
  <c r="Z6" i="16" s="1"/>
  <c r="O6" i="7"/>
  <c r="N6" i="7"/>
  <c r="P6" i="7" s="1"/>
  <c r="Q6" i="7" s="1"/>
  <c r="C7" i="16" s="1"/>
  <c r="C8" i="7"/>
  <c r="C9" i="7" s="1"/>
  <c r="C10" i="7" s="1"/>
  <c r="C11" i="7" s="1"/>
  <c r="E7" i="7"/>
  <c r="F7" i="7"/>
  <c r="K7" i="7"/>
  <c r="L7" i="7"/>
  <c r="I8" i="7"/>
  <c r="K6" i="16" l="1"/>
  <c r="R6" i="16" s="1"/>
  <c r="Y6" i="16" s="1"/>
  <c r="M6" i="16"/>
  <c r="T6" i="16" s="1"/>
  <c r="AA6" i="16" s="1"/>
  <c r="N6" i="16"/>
  <c r="U6" i="16" s="1"/>
  <c r="AB6" i="16" s="1"/>
  <c r="O6" i="16"/>
  <c r="V6" i="16" s="1"/>
  <c r="AC6" i="16" s="1"/>
  <c r="O7" i="7"/>
  <c r="C12" i="7"/>
  <c r="C13" i="7" s="1"/>
  <c r="C14" i="7" s="1"/>
  <c r="C15" i="7" s="1"/>
  <c r="C16" i="7" s="1"/>
  <c r="C17" i="7" s="1"/>
  <c r="N7" i="16"/>
  <c r="U7" i="16" s="1"/>
  <c r="AB7" i="16" s="1"/>
  <c r="O7" i="16"/>
  <c r="V7" i="16" s="1"/>
  <c r="AC7" i="16" s="1"/>
  <c r="L7" i="16"/>
  <c r="S7" i="16" s="1"/>
  <c r="Z7" i="16" s="1"/>
  <c r="M7" i="16"/>
  <c r="T7" i="16" s="1"/>
  <c r="AA7" i="16" s="1"/>
  <c r="K7" i="16"/>
  <c r="R7" i="16" s="1"/>
  <c r="Y7" i="16" s="1"/>
  <c r="N7" i="7"/>
  <c r="P7" i="7" s="1"/>
  <c r="Q7" i="7" s="1"/>
  <c r="C8" i="16" s="1"/>
  <c r="F8" i="7"/>
  <c r="E8" i="7"/>
  <c r="I9" i="7"/>
  <c r="K8" i="7"/>
  <c r="L8" i="7"/>
  <c r="F9" i="7"/>
  <c r="E9" i="7"/>
  <c r="AD6" i="16" l="1"/>
  <c r="C5" i="8" s="1"/>
  <c r="H5" i="8" s="1"/>
  <c r="F17" i="7"/>
  <c r="E17" i="7"/>
  <c r="C18" i="7"/>
  <c r="O8" i="16"/>
  <c r="V8" i="16" s="1"/>
  <c r="AC8" i="16" s="1"/>
  <c r="L8" i="16"/>
  <c r="S8" i="16" s="1"/>
  <c r="Z8" i="16" s="1"/>
  <c r="M8" i="16"/>
  <c r="T8" i="16" s="1"/>
  <c r="AA8" i="16" s="1"/>
  <c r="N8" i="16"/>
  <c r="K8" i="16"/>
  <c r="R8" i="16" s="1"/>
  <c r="Y8" i="16" s="1"/>
  <c r="O8" i="7"/>
  <c r="N8" i="7"/>
  <c r="P8" i="7" s="1"/>
  <c r="Q8" i="7" s="1"/>
  <c r="C9" i="16" s="1"/>
  <c r="N9" i="7"/>
  <c r="AD7" i="16"/>
  <c r="C19" i="7"/>
  <c r="E18" i="7"/>
  <c r="F18" i="7"/>
  <c r="I10" i="7"/>
  <c r="K9" i="7"/>
  <c r="L9" i="7"/>
  <c r="F10" i="7"/>
  <c r="E10" i="7"/>
  <c r="C6" i="8" l="1"/>
  <c r="H6" i="8" s="1"/>
  <c r="U8" i="16"/>
  <c r="AB8" i="16" s="1"/>
  <c r="AD8" i="16" s="1"/>
  <c r="M9" i="16"/>
  <c r="T9" i="16" s="1"/>
  <c r="AA9" i="16" s="1"/>
  <c r="N9" i="16"/>
  <c r="U9" i="16" s="1"/>
  <c r="AB9" i="16" s="1"/>
  <c r="O9" i="16"/>
  <c r="V9" i="16" s="1"/>
  <c r="AC9" i="16" s="1"/>
  <c r="L9" i="16"/>
  <c r="S9" i="16" s="1"/>
  <c r="Z9" i="16" s="1"/>
  <c r="K9" i="16"/>
  <c r="R9" i="16" s="1"/>
  <c r="Y9" i="16" s="1"/>
  <c r="P9" i="7"/>
  <c r="Q9" i="7" s="1"/>
  <c r="C10" i="16" s="1"/>
  <c r="O9" i="7"/>
  <c r="L10" i="7"/>
  <c r="O10" i="7" s="1"/>
  <c r="I11" i="7"/>
  <c r="I12" i="7" s="1"/>
  <c r="K10" i="7"/>
  <c r="N10" i="7" s="1"/>
  <c r="P10" i="7" s="1"/>
  <c r="Q10" i="7" s="1"/>
  <c r="C11" i="16" s="1"/>
  <c r="C20" i="7"/>
  <c r="E19" i="7"/>
  <c r="F19" i="7"/>
  <c r="F11" i="7"/>
  <c r="E11" i="7"/>
  <c r="C7" i="8" l="1"/>
  <c r="H7" i="8" s="1"/>
  <c r="AD9" i="16"/>
  <c r="O10" i="16"/>
  <c r="V10" i="16" s="1"/>
  <c r="AC10" i="16" s="1"/>
  <c r="L10" i="16"/>
  <c r="S10" i="16" s="1"/>
  <c r="Z10" i="16" s="1"/>
  <c r="M10" i="16"/>
  <c r="T10" i="16" s="1"/>
  <c r="AA10" i="16" s="1"/>
  <c r="N10" i="16"/>
  <c r="U10" i="16" s="1"/>
  <c r="AB10" i="16" s="1"/>
  <c r="K10" i="16"/>
  <c r="R10" i="16" s="1"/>
  <c r="Y10" i="16" s="1"/>
  <c r="K11" i="7"/>
  <c r="L11" i="7"/>
  <c r="F20" i="7"/>
  <c r="E20" i="7"/>
  <c r="C21" i="7"/>
  <c r="E12" i="7"/>
  <c r="F12" i="7"/>
  <c r="C8" i="8" l="1"/>
  <c r="H8" i="8" s="1"/>
  <c r="AD10" i="16"/>
  <c r="M8" i="8"/>
  <c r="L11" i="16"/>
  <c r="S11" i="16" s="1"/>
  <c r="Z11" i="16" s="1"/>
  <c r="M11" i="16"/>
  <c r="T11" i="16" s="1"/>
  <c r="AA11" i="16" s="1"/>
  <c r="N11" i="16"/>
  <c r="U11" i="16" s="1"/>
  <c r="AB11" i="16" s="1"/>
  <c r="O11" i="16"/>
  <c r="V11" i="16" s="1"/>
  <c r="AC11" i="16" s="1"/>
  <c r="K11" i="16"/>
  <c r="R11" i="16" s="1"/>
  <c r="Y11" i="16" s="1"/>
  <c r="N11" i="7"/>
  <c r="O11" i="7"/>
  <c r="C22" i="7"/>
  <c r="F21" i="7"/>
  <c r="E21" i="7"/>
  <c r="K12" i="7"/>
  <c r="N12" i="7" s="1"/>
  <c r="I13" i="7"/>
  <c r="L12" i="7"/>
  <c r="E13" i="7"/>
  <c r="F13" i="7"/>
  <c r="C9" i="8" l="1"/>
  <c r="M9" i="8" s="1"/>
  <c r="AD11" i="16"/>
  <c r="P11" i="7"/>
  <c r="Q11" i="7" s="1"/>
  <c r="C12" i="16" s="1"/>
  <c r="K12" i="16" s="1"/>
  <c r="R12" i="16" s="1"/>
  <c r="Y12" i="16" s="1"/>
  <c r="O12" i="7"/>
  <c r="P12" i="7" s="1"/>
  <c r="Q12" i="7" s="1"/>
  <c r="C13" i="16" s="1"/>
  <c r="L13" i="16" s="1"/>
  <c r="I14" i="7"/>
  <c r="K13" i="7"/>
  <c r="L13" i="7"/>
  <c r="F22" i="7"/>
  <c r="E22" i="7"/>
  <c r="C23" i="7"/>
  <c r="F14" i="7"/>
  <c r="E14" i="7"/>
  <c r="N12" i="16" l="1"/>
  <c r="U12" i="16" s="1"/>
  <c r="AB12" i="16" s="1"/>
  <c r="M12" i="16"/>
  <c r="T12" i="16" s="1"/>
  <c r="AA12" i="16" s="1"/>
  <c r="L12" i="16"/>
  <c r="S12" i="16" s="1"/>
  <c r="Z12" i="16" s="1"/>
  <c r="K13" i="16"/>
  <c r="R13" i="16" s="1"/>
  <c r="Y13" i="16" s="1"/>
  <c r="N13" i="16"/>
  <c r="U13" i="16" s="1"/>
  <c r="AB13" i="16" s="1"/>
  <c r="O12" i="16"/>
  <c r="V12" i="16" s="1"/>
  <c r="AC12" i="16" s="1"/>
  <c r="AD12" i="16" s="1"/>
  <c r="M13" i="16"/>
  <c r="T13" i="16" s="1"/>
  <c r="AA13" i="16" s="1"/>
  <c r="O13" i="16"/>
  <c r="V13" i="16" s="1"/>
  <c r="AC13" i="16" s="1"/>
  <c r="H9" i="8"/>
  <c r="C10" i="8"/>
  <c r="H10" i="8" s="1"/>
  <c r="N13" i="7"/>
  <c r="O13" i="7"/>
  <c r="S13" i="16"/>
  <c r="Z13" i="16" s="1"/>
  <c r="E23" i="7"/>
  <c r="F23" i="7"/>
  <c r="C24" i="7"/>
  <c r="K14" i="7"/>
  <c r="I15" i="7"/>
  <c r="L14" i="7"/>
  <c r="F15" i="7"/>
  <c r="E15" i="7"/>
  <c r="AD13" i="16" l="1"/>
  <c r="C12" i="8" s="1"/>
  <c r="M10" i="8"/>
  <c r="C11" i="8"/>
  <c r="M11" i="8" s="1"/>
  <c r="N14" i="7"/>
  <c r="O14" i="7"/>
  <c r="P13" i="7"/>
  <c r="Q13" i="7" s="1"/>
  <c r="C14" i="16" s="1"/>
  <c r="M14" i="16" s="1"/>
  <c r="T14" i="16" s="1"/>
  <c r="AA14" i="16" s="1"/>
  <c r="L15" i="7"/>
  <c r="K15" i="7"/>
  <c r="I16" i="7"/>
  <c r="I17" i="7" s="1"/>
  <c r="F24" i="7"/>
  <c r="C25" i="7"/>
  <c r="E24" i="7"/>
  <c r="F16" i="7"/>
  <c r="E16" i="7"/>
  <c r="K14" i="16" l="1"/>
  <c r="R14" i="16" s="1"/>
  <c r="Y14" i="16" s="1"/>
  <c r="N14" i="16"/>
  <c r="U14" i="16" s="1"/>
  <c r="AB14" i="16" s="1"/>
  <c r="L14" i="16"/>
  <c r="S14" i="16" s="1"/>
  <c r="Z14" i="16" s="1"/>
  <c r="O14" i="16"/>
  <c r="V14" i="16" s="1"/>
  <c r="AC14" i="16" s="1"/>
  <c r="H11" i="8"/>
  <c r="N15" i="7"/>
  <c r="O15" i="7"/>
  <c r="P15" i="7" s="1"/>
  <c r="Q15" i="7" s="1"/>
  <c r="C16" i="16" s="1"/>
  <c r="O16" i="16" s="1"/>
  <c r="V16" i="16" s="1"/>
  <c r="AC16" i="16" s="1"/>
  <c r="N16" i="7"/>
  <c r="P14" i="7"/>
  <c r="Q14" i="7" s="1"/>
  <c r="C15" i="16" s="1"/>
  <c r="K15" i="16" s="1"/>
  <c r="R15" i="16" s="1"/>
  <c r="Y15" i="16" s="1"/>
  <c r="M12" i="8"/>
  <c r="H12" i="8"/>
  <c r="K16" i="7"/>
  <c r="L16" i="7"/>
  <c r="O16" i="7" s="1"/>
  <c r="C26" i="7"/>
  <c r="E25" i="7"/>
  <c r="F25" i="7"/>
  <c r="P16" i="7" l="1"/>
  <c r="Q16" i="7" s="1"/>
  <c r="C17" i="16" s="1"/>
  <c r="M17" i="16" s="1"/>
  <c r="T17" i="16" s="1"/>
  <c r="AA17" i="16" s="1"/>
  <c r="AD14" i="16"/>
  <c r="C13" i="8" s="1"/>
  <c r="N15" i="16"/>
  <c r="U15" i="16" s="1"/>
  <c r="AB15" i="16" s="1"/>
  <c r="O15" i="16"/>
  <c r="V15" i="16" s="1"/>
  <c r="AC15" i="16" s="1"/>
  <c r="L15" i="16"/>
  <c r="S15" i="16" s="1"/>
  <c r="Z15" i="16" s="1"/>
  <c r="M15" i="16"/>
  <c r="T15" i="16" s="1"/>
  <c r="AA15" i="16" s="1"/>
  <c r="L16" i="16"/>
  <c r="S16" i="16" s="1"/>
  <c r="Z16" i="16" s="1"/>
  <c r="K16" i="16"/>
  <c r="R16" i="16" s="1"/>
  <c r="Y16" i="16" s="1"/>
  <c r="N16" i="16"/>
  <c r="U16" i="16" s="1"/>
  <c r="AB16" i="16" s="1"/>
  <c r="M16" i="16"/>
  <c r="T16" i="16" s="1"/>
  <c r="AA16" i="16" s="1"/>
  <c r="L17" i="16"/>
  <c r="S17" i="16" s="1"/>
  <c r="Z17" i="16" s="1"/>
  <c r="O17" i="16"/>
  <c r="V17" i="16" s="1"/>
  <c r="AC17" i="16" s="1"/>
  <c r="K17" i="16"/>
  <c r="M13" i="8"/>
  <c r="H13" i="8"/>
  <c r="C27" i="7"/>
  <c r="F26" i="7"/>
  <c r="E26" i="7"/>
  <c r="I18" i="7"/>
  <c r="K17" i="7"/>
  <c r="N17" i="7" s="1"/>
  <c r="L17" i="7"/>
  <c r="AD15" i="16" l="1"/>
  <c r="C14" i="8" s="1"/>
  <c r="N17" i="16"/>
  <c r="O17" i="7"/>
  <c r="P17" i="7" s="1"/>
  <c r="Q17" i="7" s="1"/>
  <c r="C18" i="16" s="1"/>
  <c r="AD16" i="16"/>
  <c r="R17" i="16"/>
  <c r="Y17" i="16" s="1"/>
  <c r="U17" i="16"/>
  <c r="AB17" i="16" s="1"/>
  <c r="M14" i="8"/>
  <c r="H14" i="8"/>
  <c r="I19" i="7"/>
  <c r="K18" i="7"/>
  <c r="N18" i="7" s="1"/>
  <c r="L18" i="7"/>
  <c r="E27" i="7"/>
  <c r="F27" i="7"/>
  <c r="C15" i="8" l="1"/>
  <c r="M15" i="8" s="1"/>
  <c r="O18" i="7"/>
  <c r="P18" i="7"/>
  <c r="Q18" i="7" s="1"/>
  <c r="C19" i="16" s="1"/>
  <c r="N18" i="16"/>
  <c r="U18" i="16" s="1"/>
  <c r="AB18" i="16" s="1"/>
  <c r="O18" i="16"/>
  <c r="V18" i="16" s="1"/>
  <c r="AC18" i="16" s="1"/>
  <c r="M18" i="16"/>
  <c r="T18" i="16" s="1"/>
  <c r="AA18" i="16" s="1"/>
  <c r="L18" i="16"/>
  <c r="S18" i="16" s="1"/>
  <c r="Z18" i="16" s="1"/>
  <c r="K18" i="16"/>
  <c r="R18" i="16" s="1"/>
  <c r="Y18" i="16" s="1"/>
  <c r="AD17" i="16"/>
  <c r="L19" i="7"/>
  <c r="I20" i="7"/>
  <c r="K19" i="7"/>
  <c r="N19" i="7" s="1"/>
  <c r="H15" i="8" l="1"/>
  <c r="C16" i="8"/>
  <c r="H16" i="8" s="1"/>
  <c r="AD18" i="16"/>
  <c r="O19" i="7"/>
  <c r="P19" i="7" s="1"/>
  <c r="Q19" i="7" s="1"/>
  <c r="C20" i="16" s="1"/>
  <c r="M16" i="8"/>
  <c r="K19" i="16"/>
  <c r="R19" i="16" s="1"/>
  <c r="Y19" i="16" s="1"/>
  <c r="N19" i="16"/>
  <c r="U19" i="16" s="1"/>
  <c r="AB19" i="16" s="1"/>
  <c r="O19" i="16"/>
  <c r="V19" i="16" s="1"/>
  <c r="AC19" i="16" s="1"/>
  <c r="M19" i="16"/>
  <c r="T19" i="16" s="1"/>
  <c r="AA19" i="16" s="1"/>
  <c r="L19" i="16"/>
  <c r="S19" i="16" s="1"/>
  <c r="Z19" i="16" s="1"/>
  <c r="I21" i="7"/>
  <c r="L20" i="7"/>
  <c r="K20" i="7"/>
  <c r="N20" i="7" s="1"/>
  <c r="C17" i="8" l="1"/>
  <c r="M17" i="8" s="1"/>
  <c r="O20" i="7"/>
  <c r="P20" i="7" s="1"/>
  <c r="Q20" i="7" s="1"/>
  <c r="C21" i="16" s="1"/>
  <c r="AD19" i="16"/>
  <c r="C18" i="8" s="1"/>
  <c r="L20" i="16"/>
  <c r="S20" i="16" s="1"/>
  <c r="Z20" i="16" s="1"/>
  <c r="O20" i="16"/>
  <c r="V20" i="16" s="1"/>
  <c r="AC20" i="16" s="1"/>
  <c r="K20" i="16"/>
  <c r="R20" i="16" s="1"/>
  <c r="Y20" i="16" s="1"/>
  <c r="M20" i="16"/>
  <c r="T20" i="16" s="1"/>
  <c r="AA20" i="16" s="1"/>
  <c r="N20" i="16"/>
  <c r="U20" i="16" s="1"/>
  <c r="AB20" i="16" s="1"/>
  <c r="I22" i="7"/>
  <c r="K21" i="7"/>
  <c r="N21" i="7" s="1"/>
  <c r="L21" i="7"/>
  <c r="H17" i="8" l="1"/>
  <c r="AD20" i="16"/>
  <c r="O21" i="7"/>
  <c r="P21" i="7" s="1"/>
  <c r="Q21" i="7" s="1"/>
  <c r="C22" i="16" s="1"/>
  <c r="L21" i="16"/>
  <c r="S21" i="16" s="1"/>
  <c r="Z21" i="16" s="1"/>
  <c r="O21" i="16"/>
  <c r="V21" i="16" s="1"/>
  <c r="AC21" i="16" s="1"/>
  <c r="M21" i="16"/>
  <c r="T21" i="16" s="1"/>
  <c r="AA21" i="16" s="1"/>
  <c r="K21" i="16"/>
  <c r="R21" i="16" s="1"/>
  <c r="Y21" i="16" s="1"/>
  <c r="N21" i="16"/>
  <c r="U21" i="16" s="1"/>
  <c r="AB21" i="16" s="1"/>
  <c r="M18" i="8"/>
  <c r="H18" i="8"/>
  <c r="I23" i="7"/>
  <c r="K22" i="7"/>
  <c r="N22" i="7" s="1"/>
  <c r="L22" i="7"/>
  <c r="C19" i="8" l="1"/>
  <c r="M19" i="8" s="1"/>
  <c r="O22" i="7"/>
  <c r="P22" i="7" s="1"/>
  <c r="Q22" i="7" s="1"/>
  <c r="C23" i="16" s="1"/>
  <c r="AD21" i="16"/>
  <c r="O22" i="16"/>
  <c r="V22" i="16" s="1"/>
  <c r="AC22" i="16" s="1"/>
  <c r="M22" i="16"/>
  <c r="T22" i="16" s="1"/>
  <c r="AA22" i="16" s="1"/>
  <c r="K22" i="16"/>
  <c r="N22" i="16"/>
  <c r="U22" i="16" s="1"/>
  <c r="AB22" i="16" s="1"/>
  <c r="L22" i="16"/>
  <c r="S22" i="16" s="1"/>
  <c r="Z22" i="16" s="1"/>
  <c r="I24" i="7"/>
  <c r="K23" i="7"/>
  <c r="N23" i="7" s="1"/>
  <c r="L23" i="7"/>
  <c r="H19" i="8" l="1"/>
  <c r="C20" i="8"/>
  <c r="H20" i="8" s="1"/>
  <c r="O23" i="7"/>
  <c r="P23" i="7" s="1"/>
  <c r="Q23" i="7" s="1"/>
  <c r="C24" i="16" s="1"/>
  <c r="R22" i="16"/>
  <c r="Y22" i="16" s="1"/>
  <c r="AD22" i="16" s="1"/>
  <c r="C21" i="8" s="1"/>
  <c r="L23" i="16"/>
  <c r="S23" i="16" s="1"/>
  <c r="Z23" i="16" s="1"/>
  <c r="M23" i="16"/>
  <c r="T23" i="16" s="1"/>
  <c r="AA23" i="16" s="1"/>
  <c r="O23" i="16"/>
  <c r="V23" i="16" s="1"/>
  <c r="AC23" i="16" s="1"/>
  <c r="K23" i="16"/>
  <c r="R23" i="16" s="1"/>
  <c r="Y23" i="16" s="1"/>
  <c r="N23" i="16"/>
  <c r="U23" i="16" s="1"/>
  <c r="AB23" i="16" s="1"/>
  <c r="L24" i="7"/>
  <c r="K24" i="7"/>
  <c r="N24" i="7" s="1"/>
  <c r="I25" i="7"/>
  <c r="M20" i="8" l="1"/>
  <c r="O24" i="7"/>
  <c r="P24" i="7" s="1"/>
  <c r="Q24" i="7" s="1"/>
  <c r="C25" i="16" s="1"/>
  <c r="AD23" i="16"/>
  <c r="K24" i="16"/>
  <c r="R24" i="16" s="1"/>
  <c r="Y24" i="16" s="1"/>
  <c r="N24" i="16"/>
  <c r="U24" i="16" s="1"/>
  <c r="AB24" i="16" s="1"/>
  <c r="O24" i="16"/>
  <c r="V24" i="16" s="1"/>
  <c r="AC24" i="16" s="1"/>
  <c r="M24" i="16"/>
  <c r="T24" i="16" s="1"/>
  <c r="AA24" i="16" s="1"/>
  <c r="L24" i="16"/>
  <c r="S24" i="16" s="1"/>
  <c r="Z24" i="16" s="1"/>
  <c r="K25" i="7"/>
  <c r="N25" i="7" s="1"/>
  <c r="I26" i="7"/>
  <c r="L25" i="7"/>
  <c r="C22" i="8" l="1"/>
  <c r="H22" i="8" s="1"/>
  <c r="O25" i="7"/>
  <c r="P25" i="7" s="1"/>
  <c r="Q25" i="7" s="1"/>
  <c r="C26" i="16" s="1"/>
  <c r="AD24" i="16"/>
  <c r="M25" i="16"/>
  <c r="T25" i="16" s="1"/>
  <c r="AA25" i="16" s="1"/>
  <c r="K25" i="16"/>
  <c r="R25" i="16" s="1"/>
  <c r="Y25" i="16" s="1"/>
  <c r="N25" i="16"/>
  <c r="U25" i="16" s="1"/>
  <c r="AB25" i="16" s="1"/>
  <c r="O25" i="16"/>
  <c r="V25" i="16" s="1"/>
  <c r="AC25" i="16" s="1"/>
  <c r="L25" i="16"/>
  <c r="S25" i="16" s="1"/>
  <c r="Z25" i="16" s="1"/>
  <c r="M21" i="8"/>
  <c r="H21" i="8"/>
  <c r="K26" i="7"/>
  <c r="N26" i="7" s="1"/>
  <c r="L26" i="7"/>
  <c r="I27" i="7"/>
  <c r="M22" i="8" l="1"/>
  <c r="C23" i="8"/>
  <c r="M23" i="8" s="1"/>
  <c r="O26" i="7"/>
  <c r="P26" i="7" s="1"/>
  <c r="Q26" i="7" s="1"/>
  <c r="C27" i="16" s="1"/>
  <c r="H23" i="8"/>
  <c r="AD25" i="16"/>
  <c r="M26" i="16"/>
  <c r="T26" i="16" s="1"/>
  <c r="AA26" i="16" s="1"/>
  <c r="L26" i="16"/>
  <c r="S26" i="16" s="1"/>
  <c r="Z26" i="16" s="1"/>
  <c r="O26" i="16"/>
  <c r="V26" i="16" s="1"/>
  <c r="AC26" i="16" s="1"/>
  <c r="N26" i="16"/>
  <c r="U26" i="16" s="1"/>
  <c r="AB26" i="16" s="1"/>
  <c r="K26" i="16"/>
  <c r="R26" i="16" s="1"/>
  <c r="Y26" i="16" s="1"/>
  <c r="K27" i="7"/>
  <c r="N27" i="7" s="1"/>
  <c r="L27" i="7"/>
  <c r="E4" i="2"/>
  <c r="D5" i="8" s="1"/>
  <c r="E5" i="2"/>
  <c r="D6" i="8" s="1"/>
  <c r="E7" i="2"/>
  <c r="D8" i="8" s="1"/>
  <c r="E8" i="2"/>
  <c r="D9" i="8" s="1"/>
  <c r="N9" i="8" s="1"/>
  <c r="E9" i="2"/>
  <c r="D10" i="8" s="1"/>
  <c r="N10" i="8" s="1"/>
  <c r="E10" i="2"/>
  <c r="D11" i="8" s="1"/>
  <c r="E12" i="2"/>
  <c r="D13" i="8" s="1"/>
  <c r="E14" i="2"/>
  <c r="D15" i="8" s="1"/>
  <c r="E15" i="2"/>
  <c r="D16" i="8" s="1"/>
  <c r="E17" i="2"/>
  <c r="D18" i="8" s="1"/>
  <c r="N18" i="8" s="1"/>
  <c r="E18" i="2"/>
  <c r="D19" i="8" s="1"/>
  <c r="E19" i="2"/>
  <c r="D20" i="8" s="1"/>
  <c r="E22" i="2"/>
  <c r="D23" i="8" s="1"/>
  <c r="E23" i="2"/>
  <c r="D24" i="8" s="1"/>
  <c r="E24" i="2"/>
  <c r="D25" i="8" s="1"/>
  <c r="N25" i="8" s="1"/>
  <c r="E25" i="2"/>
  <c r="D26" i="8" s="1"/>
  <c r="N26" i="8" s="1"/>
  <c r="E3" i="2"/>
  <c r="D4" i="8" s="1"/>
  <c r="G5" i="1"/>
  <c r="E6" i="8" s="1"/>
  <c r="J6" i="8" s="1"/>
  <c r="G7" i="1"/>
  <c r="E8" i="8" s="1"/>
  <c r="J8" i="8" s="1"/>
  <c r="G8" i="1"/>
  <c r="E9" i="8" s="1"/>
  <c r="J9" i="8" s="1"/>
  <c r="G9" i="1"/>
  <c r="E10" i="8" s="1"/>
  <c r="J10" i="8" s="1"/>
  <c r="G10" i="1"/>
  <c r="E11" i="8" s="1"/>
  <c r="J11" i="8" s="1"/>
  <c r="G11" i="1"/>
  <c r="E12" i="8" s="1"/>
  <c r="J12" i="8" s="1"/>
  <c r="G12" i="1"/>
  <c r="E13" i="8" s="1"/>
  <c r="J13" i="8" s="1"/>
  <c r="G13" i="1"/>
  <c r="E14" i="8" s="1"/>
  <c r="J14" i="8" s="1"/>
  <c r="G14" i="1"/>
  <c r="E15" i="8" s="1"/>
  <c r="J15" i="8" s="1"/>
  <c r="G15" i="1"/>
  <c r="E16" i="8" s="1"/>
  <c r="J16" i="8" s="1"/>
  <c r="G16" i="1"/>
  <c r="E17" i="8" s="1"/>
  <c r="J17" i="8" s="1"/>
  <c r="G17" i="1"/>
  <c r="E18" i="8" s="1"/>
  <c r="J18" i="8" s="1"/>
  <c r="G18" i="1"/>
  <c r="E19" i="8" s="1"/>
  <c r="J19" i="8" s="1"/>
  <c r="G19" i="1"/>
  <c r="E20" i="8" s="1"/>
  <c r="J20" i="8" s="1"/>
  <c r="G20" i="1"/>
  <c r="E21" i="8" s="1"/>
  <c r="J21" i="8" s="1"/>
  <c r="G21" i="1"/>
  <c r="E22" i="8" s="1"/>
  <c r="J22" i="8" s="1"/>
  <c r="G22" i="1"/>
  <c r="E23" i="8" s="1"/>
  <c r="J23" i="8" s="1"/>
  <c r="G23" i="1"/>
  <c r="E24" i="8" s="1"/>
  <c r="J24" i="8" s="1"/>
  <c r="G24" i="1"/>
  <c r="E25" i="8" s="1"/>
  <c r="J25" i="8" s="1"/>
  <c r="G25" i="1"/>
  <c r="E26" i="8" s="1"/>
  <c r="J26" i="8" s="1"/>
  <c r="G26" i="1"/>
  <c r="E27" i="8" s="1"/>
  <c r="J27" i="8" s="1"/>
  <c r="G3" i="1"/>
  <c r="G4" i="1"/>
  <c r="E5" i="8" s="1"/>
  <c r="J5" i="8" s="1"/>
  <c r="H8" i="2"/>
  <c r="C24" i="8" l="1"/>
  <c r="M24" i="8" s="1"/>
  <c r="O27" i="7"/>
  <c r="P27" i="7" s="1"/>
  <c r="Q27" i="7" s="1"/>
  <c r="C28" i="16" s="1"/>
  <c r="O27" i="16"/>
  <c r="V27" i="16" s="1"/>
  <c r="AC27" i="16" s="1"/>
  <c r="N27" i="16"/>
  <c r="U27" i="16" s="1"/>
  <c r="AB27" i="16" s="1"/>
  <c r="L27" i="16"/>
  <c r="S27" i="16" s="1"/>
  <c r="Z27" i="16" s="1"/>
  <c r="M27" i="16"/>
  <c r="T27" i="16" s="1"/>
  <c r="AA27" i="16" s="1"/>
  <c r="K27" i="16"/>
  <c r="AD26" i="16"/>
  <c r="C25" i="8" s="1"/>
  <c r="N8" i="8"/>
  <c r="I8" i="8"/>
  <c r="I19" i="8"/>
  <c r="N19" i="8"/>
  <c r="N16" i="8"/>
  <c r="I16" i="8"/>
  <c r="I23" i="8"/>
  <c r="N23" i="8"/>
  <c r="I6" i="8"/>
  <c r="N6" i="8"/>
  <c r="I5" i="8"/>
  <c r="N5" i="8"/>
  <c r="I11" i="8"/>
  <c r="N11" i="8"/>
  <c r="I24" i="8"/>
  <c r="N24" i="8"/>
  <c r="I15" i="8"/>
  <c r="N15" i="8"/>
  <c r="N4" i="8"/>
  <c r="I4" i="8"/>
  <c r="N13" i="8"/>
  <c r="I13" i="8"/>
  <c r="I20" i="8"/>
  <c r="N20" i="8"/>
  <c r="I26" i="8"/>
  <c r="I25" i="8"/>
  <c r="I9" i="8"/>
  <c r="I18" i="8"/>
  <c r="I10" i="8"/>
  <c r="O20" i="8"/>
  <c r="O12" i="8"/>
  <c r="O27" i="8"/>
  <c r="O19" i="8"/>
  <c r="O11" i="8"/>
  <c r="O26" i="8"/>
  <c r="O18" i="8"/>
  <c r="O10" i="8"/>
  <c r="O25" i="8"/>
  <c r="O17" i="8"/>
  <c r="O9" i="8"/>
  <c r="O24" i="8"/>
  <c r="O16" i="8"/>
  <c r="O8" i="8"/>
  <c r="O23" i="8"/>
  <c r="O15" i="8"/>
  <c r="O22" i="8"/>
  <c r="O14" i="8"/>
  <c r="O6" i="8"/>
  <c r="O21" i="8"/>
  <c r="O13" i="8"/>
  <c r="O5" i="8"/>
  <c r="E4" i="8"/>
  <c r="G6" i="1"/>
  <c r="E7" i="8" s="1"/>
  <c r="H24" i="8" l="1"/>
  <c r="M28" i="16"/>
  <c r="T28" i="16" s="1"/>
  <c r="AA28" i="16" s="1"/>
  <c r="K28" i="16"/>
  <c r="R28" i="16" s="1"/>
  <c r="Y28" i="16" s="1"/>
  <c r="N28" i="16"/>
  <c r="U28" i="16" s="1"/>
  <c r="AB28" i="16" s="1"/>
  <c r="O28" i="16"/>
  <c r="V28" i="16" s="1"/>
  <c r="AC28" i="16" s="1"/>
  <c r="L28" i="16"/>
  <c r="R27" i="16"/>
  <c r="Y27" i="16" s="1"/>
  <c r="AD27" i="16" s="1"/>
  <c r="C26" i="8" s="1"/>
  <c r="E30" i="8"/>
  <c r="J7" i="8"/>
  <c r="O7" i="8"/>
  <c r="J4" i="8"/>
  <c r="O4" i="8"/>
  <c r="G27" i="1"/>
  <c r="J30" i="8" l="1"/>
  <c r="M26" i="8"/>
  <c r="H26" i="8"/>
  <c r="M25" i="8"/>
  <c r="H25" i="8"/>
  <c r="S28" i="16"/>
  <c r="Z28" i="16" s="1"/>
  <c r="AD28" i="16" s="1"/>
  <c r="AD29" i="16" s="1"/>
  <c r="O30" i="8"/>
  <c r="C27" i="8" l="1"/>
  <c r="H6" i="2"/>
  <c r="H5" i="2"/>
  <c r="M27" i="8" l="1"/>
  <c r="H27" i="8"/>
  <c r="H7" i="2"/>
  <c r="H9" i="2" s="1"/>
  <c r="D11" i="2" l="1"/>
  <c r="D16" i="2"/>
  <c r="D21" i="2"/>
  <c r="D26" i="2"/>
  <c r="C6" i="2"/>
  <c r="E6" i="2" s="1"/>
  <c r="D7" i="8" s="1"/>
  <c r="C21" i="2"/>
  <c r="E21" i="2" s="1"/>
  <c r="D22" i="8" s="1"/>
  <c r="C26" i="2"/>
  <c r="E26" i="2" s="1"/>
  <c r="D27" i="8" s="1"/>
  <c r="C11" i="2"/>
  <c r="E11" i="2" s="1"/>
  <c r="D12" i="8" s="1"/>
  <c r="C16" i="2"/>
  <c r="E20" i="2"/>
  <c r="D21" i="8" s="1"/>
  <c r="E13" i="2"/>
  <c r="N27" i="8" l="1"/>
  <c r="I27" i="8"/>
  <c r="N7" i="8"/>
  <c r="I7" i="8"/>
  <c r="N12" i="8"/>
  <c r="I12" i="8"/>
  <c r="N22" i="8"/>
  <c r="I22" i="8"/>
  <c r="E16" i="2"/>
  <c r="D17" i="8" s="1"/>
  <c r="D14" i="8"/>
  <c r="N21" i="8"/>
  <c r="I21" i="8"/>
  <c r="N17" i="8" l="1"/>
  <c r="I17" i="8"/>
  <c r="E29" i="8"/>
  <c r="E34" i="8" s="1"/>
  <c r="I14" i="8"/>
  <c r="N14" i="8"/>
  <c r="O29" i="8" s="1"/>
  <c r="J29" i="8" l="1"/>
  <c r="J34" i="8" s="1"/>
  <c r="O34" i="8"/>
  <c r="O32" i="8"/>
  <c r="E32" i="8"/>
  <c r="J32" i="8" l="1"/>
</calcChain>
</file>

<file path=xl/sharedStrings.xml><?xml version="1.0" encoding="utf-8"?>
<sst xmlns="http://schemas.openxmlformats.org/spreadsheetml/2006/main" count="247" uniqueCount="159">
  <si>
    <t>Preliminary Engineering</t>
  </si>
  <si>
    <t>ROW and Utilities</t>
  </si>
  <si>
    <t>Construction</t>
  </si>
  <si>
    <t>CEI</t>
  </si>
  <si>
    <t>Width (ft)</t>
  </si>
  <si>
    <t>Length (mi)</t>
  </si>
  <si>
    <t>Segment 1 = 1.99 mi; Segment 2 = 1.36 mi</t>
  </si>
  <si>
    <t>Effective Lanes</t>
  </si>
  <si>
    <t>Effective Lane Mileage (mi)</t>
  </si>
  <si>
    <t>Parameter</t>
  </si>
  <si>
    <t>Value</t>
  </si>
  <si>
    <t>Comment</t>
  </si>
  <si>
    <t>[Width (ft)] / 12 ft per lane</t>
  </si>
  <si>
    <t>[Effective Lanes] * [Length]</t>
  </si>
  <si>
    <t>Overlay Cost ($ per lane mile)</t>
  </si>
  <si>
    <t>in 2016 dollars</t>
  </si>
  <si>
    <t>Two 12-ft travel lanes</t>
  </si>
  <si>
    <t>Railroad Crossing</t>
  </si>
  <si>
    <t>Phase</t>
  </si>
  <si>
    <t>Cost per Mile</t>
  </si>
  <si>
    <t>Total Cost</t>
  </si>
  <si>
    <t>Sub-Total Construction Cost</t>
  </si>
  <si>
    <t>Preliminary Engineering (5% of Construction Cost)</t>
  </si>
  <si>
    <t>Right-of-Way and Utilities (10% of Construction Cost)</t>
  </si>
  <si>
    <t>Construction Inspection (10% of Construction Cost)</t>
  </si>
  <si>
    <t>Sub-Total Development Costs</t>
  </si>
  <si>
    <t>Segment 2: Co. Rd. 623 – Mississippi River</t>
  </si>
  <si>
    <t>Segment 1: Hwy. 61 – Co. Rd. 623</t>
  </si>
  <si>
    <t>Total Cost – All Phases – Segment 1</t>
  </si>
  <si>
    <t>Total Cost – All Phases – Segment 2</t>
  </si>
  <si>
    <t>Grand Total Cost – All Phases – Segments 1 and 2</t>
  </si>
  <si>
    <t>Undiscounted Benefit-Cost Ratio</t>
  </si>
  <si>
    <t>Truck Percent</t>
  </si>
  <si>
    <t>Trucks</t>
  </si>
  <si>
    <t>12 ft travel lanes with average ACHM depth = 2"</t>
  </si>
  <si>
    <t>–</t>
  </si>
  <si>
    <t>Year of Expenditure</t>
  </si>
  <si>
    <t>Calendar Year</t>
  </si>
  <si>
    <t>Capital Costs</t>
  </si>
  <si>
    <t>Sum of Undiscounted Benefits</t>
  </si>
  <si>
    <t>Sum of Undiscounted Costs</t>
  </si>
  <si>
    <t>Undiscounted Net Present Value</t>
  </si>
  <si>
    <t>Net Present Value at 7% Discount</t>
  </si>
  <si>
    <t>Benefit-Cost Ratio at 7% Discount</t>
  </si>
  <si>
    <t>Net Present Value at 3% Discount</t>
  </si>
  <si>
    <t>Benefit-Cost Ratio at 3% Discount</t>
  </si>
  <si>
    <t>Sum of Benefits at 7% Discount</t>
  </si>
  <si>
    <t>Sum of Costs at 7% Discount</t>
  </si>
  <si>
    <t>Sum of Benefits at 3% Discount</t>
  </si>
  <si>
    <t>Sum of Costs at 3% Discount</t>
  </si>
  <si>
    <t xml:space="preserve">Net Cost of Operations and Maintenance </t>
  </si>
  <si>
    <t>No Build</t>
  </si>
  <si>
    <t>Build</t>
  </si>
  <si>
    <t>Year</t>
  </si>
  <si>
    <t>Big River Steel</t>
  </si>
  <si>
    <t>Arkansas Steel Processing</t>
  </si>
  <si>
    <t>Mid-River Terminal LLC</t>
  </si>
  <si>
    <t>Passenger</t>
  </si>
  <si>
    <t>Bunge Grain</t>
  </si>
  <si>
    <t>Consolidated Grain and Barge</t>
  </si>
  <si>
    <t>Plum Point Energy Station</t>
  </si>
  <si>
    <t>Razorback Concrete</t>
  </si>
  <si>
    <t>Length of Segment 1</t>
  </si>
  <si>
    <t>Length of Segment 2</t>
  </si>
  <si>
    <t>miles</t>
  </si>
  <si>
    <t>AADT</t>
  </si>
  <si>
    <t>Truck %</t>
  </si>
  <si>
    <t>Annual Average Growth Rate</t>
  </si>
  <si>
    <t>for Major Collectors in Mississippi County</t>
  </si>
  <si>
    <t>Segment 1 Only</t>
  </si>
  <si>
    <t>Segment 2 Only</t>
  </si>
  <si>
    <t>USE</t>
  </si>
  <si>
    <t>Average</t>
  </si>
  <si>
    <t>Daily Trip Generation</t>
  </si>
  <si>
    <t xml:space="preserve">Sum of Segment 1 and 2 </t>
  </si>
  <si>
    <t>Total Daily Trip Generation</t>
  </si>
  <si>
    <t>Percent Trucks</t>
  </si>
  <si>
    <t>AADT and Truck Percent</t>
  </si>
  <si>
    <t>Segment 1 (470139)</t>
  </si>
  <si>
    <t>Segment 2 (470140)</t>
  </si>
  <si>
    <t>Total Cost for 2" Overlay</t>
  </si>
  <si>
    <t>Daily Passenger Vehicle VMT</t>
  </si>
  <si>
    <t>Daily Truck VMT</t>
  </si>
  <si>
    <t>Net Cost of Operations &amp; Maintenance</t>
  </si>
  <si>
    <t>Widen from 11 to 12 feet</t>
  </si>
  <si>
    <t>All</t>
  </si>
  <si>
    <t>Safety Improvements</t>
  </si>
  <si>
    <t>K</t>
  </si>
  <si>
    <t>A</t>
  </si>
  <si>
    <t>B</t>
  </si>
  <si>
    <t>C</t>
  </si>
  <si>
    <t>O</t>
  </si>
  <si>
    <t>Rate</t>
  </si>
  <si>
    <t>Unknown Severity</t>
  </si>
  <si>
    <t>Average Number of Vehicles Involved in PDO Crashes</t>
  </si>
  <si>
    <t>Base Value</t>
  </si>
  <si>
    <t>Added Value Accounting for Number of Vehicles Involved in PDO Crashes</t>
  </si>
  <si>
    <t>Total Value Based on Crash Severity</t>
  </si>
  <si>
    <t>Pave a 3-4 foot sod shoulder</t>
  </si>
  <si>
    <t>Multiplicative Factor</t>
  </si>
  <si>
    <t>Total Daily VMT</t>
  </si>
  <si>
    <t>Total Annual VMT</t>
  </si>
  <si>
    <t>Statewide Average Crash Rates for 2-Lane Rural Highways</t>
  </si>
  <si>
    <t>Safety Countermeasure</t>
  </si>
  <si>
    <t>CMF</t>
  </si>
  <si>
    <t>Source</t>
  </si>
  <si>
    <t>Crash Types</t>
  </si>
  <si>
    <t>Severity</t>
  </si>
  <si>
    <t>Facility Type</t>
  </si>
  <si>
    <t>Rural 2-Lane</t>
  </si>
  <si>
    <r>
      <rPr>
        <sz val="11"/>
        <color theme="1"/>
        <rFont val="Arial Narrow"/>
        <family val="2"/>
      </rPr>
      <t xml:space="preserve">Hauer (2000), </t>
    </r>
    <r>
      <rPr>
        <i/>
        <sz val="11"/>
        <color theme="1"/>
        <rFont val="Arial Narrow"/>
        <family val="2"/>
      </rPr>
      <t>Lane Width and Safety</t>
    </r>
  </si>
  <si>
    <r>
      <t xml:space="preserve">Heimbach, et al. (1974), </t>
    </r>
    <r>
      <rPr>
        <i/>
        <sz val="11"/>
        <color theme="1"/>
        <rFont val="Arial Narrow"/>
        <family val="2"/>
      </rPr>
      <t>Paved Highway Shoulders and Accident Experience</t>
    </r>
  </si>
  <si>
    <t>Not Specified</t>
  </si>
  <si>
    <t>Average Number of Fatalities per Fatal Crash</t>
  </si>
  <si>
    <t>Added Value Accounting for Average Number of Fatalities per Fatal Crash</t>
  </si>
  <si>
    <t>Added Value Accounting for Average Number of Injuries of Unknown Severity per Crash</t>
  </si>
  <si>
    <t>Average Number of Severity Unknown Injuries per Crash</t>
  </si>
  <si>
    <t>Million VMT</t>
  </si>
  <si>
    <t>Safety Benefits</t>
  </si>
  <si>
    <t>Table 1. Segment 1 – US 61 to State Highway 239</t>
  </si>
  <si>
    <t>Table 2. Segment 2 – State Highway 239 to Mississippi River</t>
  </si>
  <si>
    <t>Table 3. Segments 1 and 2</t>
  </si>
  <si>
    <t>Table 4. Parameters and Assumptions</t>
  </si>
  <si>
    <t>Table 5. Annual Trip Data provided by Local Industry</t>
  </si>
  <si>
    <t>Table 6. Count Data Collected by ArDOT</t>
  </si>
  <si>
    <r>
      <t xml:space="preserve">Current-year traffic volumes represent average of field counts from 2015 to 2017.  Volume projections for 2025 through 2040 assume opening of proposed Phase II improvements at Big River Steel and Arkansas Steel Processing in 2025  (see </t>
    </r>
    <r>
      <rPr>
        <b/>
        <sz val="11"/>
        <color theme="1"/>
        <rFont val="Arial Narrow"/>
        <family val="2"/>
      </rPr>
      <t>Table 5</t>
    </r>
    <r>
      <rPr>
        <sz val="11"/>
        <color theme="1"/>
        <rFont val="Arial Narrow"/>
        <family val="2"/>
      </rPr>
      <t xml:space="preserve">).  Year-over-year </t>
    </r>
    <r>
      <rPr>
        <i/>
        <sz val="11"/>
        <color theme="1"/>
        <rFont val="Arial Narrow"/>
        <family val="2"/>
      </rPr>
      <t>AADT</t>
    </r>
    <r>
      <rPr>
        <sz val="11"/>
        <color theme="1"/>
        <rFont val="Arial Narrow"/>
        <family val="2"/>
      </rPr>
      <t xml:space="preserve"> growth calculated by multiplying previous year </t>
    </r>
    <r>
      <rPr>
        <i/>
        <sz val="11"/>
        <color theme="1"/>
        <rFont val="Arial Narrow"/>
        <family val="2"/>
      </rPr>
      <t xml:space="preserve">AADT </t>
    </r>
    <r>
      <rPr>
        <sz val="11"/>
        <color theme="1"/>
        <rFont val="Arial Narrow"/>
        <family val="2"/>
      </rPr>
      <t xml:space="preserve">by the </t>
    </r>
    <r>
      <rPr>
        <i/>
        <sz val="11"/>
        <color theme="1"/>
        <rFont val="Arial Narrow"/>
        <family val="2"/>
      </rPr>
      <t xml:space="preserve">Annual Average Growth Rate </t>
    </r>
    <r>
      <rPr>
        <sz val="11"/>
        <color theme="1"/>
        <rFont val="Arial Narrow"/>
        <family val="2"/>
      </rPr>
      <t xml:space="preserve">in </t>
    </r>
    <r>
      <rPr>
        <b/>
        <sz val="11"/>
        <color theme="1"/>
        <rFont val="Arial Narrow"/>
        <family val="2"/>
      </rPr>
      <t>Table 4</t>
    </r>
    <r>
      <rPr>
        <sz val="11"/>
        <color theme="1"/>
        <rFont val="Arial Narrow"/>
        <family val="2"/>
      </rPr>
      <t>.</t>
    </r>
    <r>
      <rPr>
        <i/>
        <sz val="11"/>
        <color theme="1"/>
        <rFont val="Arial Narrow"/>
        <family val="2"/>
      </rPr>
      <t xml:space="preserve"> </t>
    </r>
    <r>
      <rPr>
        <sz val="11"/>
        <color theme="1"/>
        <rFont val="Arial Narrow"/>
        <family val="2"/>
      </rPr>
      <t xml:space="preserve">Volume projections for 2025 through 2040 assume opening of proposed Phase II improvements at Big River Steel and Arkansas Steel Processing in 2025.. </t>
    </r>
    <r>
      <rPr>
        <i/>
        <sz val="11"/>
        <color theme="1"/>
        <rFont val="Arial Narrow"/>
        <family val="2"/>
      </rPr>
      <t>VMT</t>
    </r>
    <r>
      <rPr>
        <sz val="11"/>
        <color theme="1"/>
        <rFont val="Arial Narrow"/>
        <family val="2"/>
      </rPr>
      <t xml:space="preserve"> calculated by multiplying </t>
    </r>
    <r>
      <rPr>
        <i/>
        <sz val="11"/>
        <color theme="1"/>
        <rFont val="Arial Narrow"/>
        <family val="2"/>
      </rPr>
      <t>AADT</t>
    </r>
    <r>
      <rPr>
        <sz val="11"/>
        <color theme="1"/>
        <rFont val="Arial Narrow"/>
        <family val="2"/>
      </rPr>
      <t xml:space="preserve"> by </t>
    </r>
    <r>
      <rPr>
        <i/>
        <sz val="11"/>
        <color theme="1"/>
        <rFont val="Arial Narrow"/>
        <family val="2"/>
      </rPr>
      <t>Truck Percent</t>
    </r>
    <r>
      <rPr>
        <sz val="11"/>
        <color theme="1"/>
        <rFont val="Arial Narrow"/>
        <family val="2"/>
      </rPr>
      <t xml:space="preserve"> by </t>
    </r>
    <r>
      <rPr>
        <i/>
        <sz val="11"/>
        <color theme="1"/>
        <rFont val="Arial Narrow"/>
        <family val="2"/>
      </rPr>
      <t xml:space="preserve">Segment Length </t>
    </r>
    <r>
      <rPr>
        <sz val="11"/>
        <color theme="1"/>
        <rFont val="Arial Narrow"/>
        <family val="2"/>
      </rPr>
      <t xml:space="preserve">in </t>
    </r>
    <r>
      <rPr>
        <b/>
        <sz val="11"/>
        <color theme="1"/>
        <rFont val="Arial Narrow"/>
        <family val="2"/>
      </rPr>
      <t>Table 4</t>
    </r>
    <r>
      <rPr>
        <i/>
        <sz val="11"/>
        <color theme="1"/>
        <rFont val="Arial Narrow"/>
        <family val="2"/>
      </rPr>
      <t>.</t>
    </r>
  </si>
  <si>
    <r>
      <rPr>
        <i/>
        <sz val="11"/>
        <color theme="1"/>
        <rFont val="Arial Narrow"/>
        <family val="2"/>
      </rPr>
      <t xml:space="preserve">Daily VMT </t>
    </r>
    <r>
      <rPr>
        <sz val="11"/>
        <color theme="1"/>
        <rFont val="Arial Narrow"/>
        <family val="2"/>
      </rPr>
      <t xml:space="preserve">summed from </t>
    </r>
    <r>
      <rPr>
        <b/>
        <sz val="11"/>
        <color theme="1"/>
        <rFont val="Arial Narrow"/>
        <family val="2"/>
      </rPr>
      <t>Tables 1</t>
    </r>
    <r>
      <rPr>
        <sz val="11"/>
        <color theme="1"/>
        <rFont val="Arial Narrow"/>
        <family val="2"/>
      </rPr>
      <t xml:space="preserve"> and </t>
    </r>
    <r>
      <rPr>
        <b/>
        <sz val="11"/>
        <color theme="1"/>
        <rFont val="Arial Narrow"/>
        <family val="2"/>
      </rPr>
      <t>2</t>
    </r>
    <r>
      <rPr>
        <sz val="11"/>
        <color theme="1"/>
        <rFont val="Arial Narrow"/>
        <family val="2"/>
      </rPr>
      <t xml:space="preserve">.  </t>
    </r>
    <r>
      <rPr>
        <i/>
        <sz val="11"/>
        <color theme="1"/>
        <rFont val="Arial Narrow"/>
        <family val="2"/>
      </rPr>
      <t>Total Annual VMT</t>
    </r>
    <r>
      <rPr>
        <sz val="11"/>
        <color theme="1"/>
        <rFont val="Arial Narrow"/>
        <family val="2"/>
      </rPr>
      <t xml:space="preserve"> calculated by multiplying </t>
    </r>
    <r>
      <rPr>
        <i/>
        <sz val="11"/>
        <color theme="1"/>
        <rFont val="Arial Narrow"/>
        <family val="2"/>
      </rPr>
      <t>Total Daily VMT</t>
    </r>
    <r>
      <rPr>
        <sz val="11"/>
        <color theme="1"/>
        <rFont val="Arial Narrow"/>
        <family val="2"/>
      </rPr>
      <t xml:space="preserve"> by 365.</t>
    </r>
  </si>
  <si>
    <t>Figures derived from statewide data collected on rural highways in Arkansas between 2010 and 2014.</t>
  </si>
  <si>
    <r>
      <rPr>
        <i/>
        <sz val="11"/>
        <color theme="1"/>
        <rFont val="Arial Narrow"/>
        <family val="2"/>
      </rPr>
      <t>Added Values</t>
    </r>
    <r>
      <rPr>
        <sz val="11"/>
        <color theme="1"/>
        <rFont val="Arial Narrow"/>
        <family val="2"/>
      </rPr>
      <t xml:space="preserve"> derived from supplemental crash data from </t>
    </r>
    <r>
      <rPr>
        <b/>
        <sz val="11"/>
        <color theme="1"/>
        <rFont val="Arial Narrow"/>
        <family val="2"/>
      </rPr>
      <t>Table 7</t>
    </r>
    <r>
      <rPr>
        <sz val="11"/>
        <color theme="1"/>
        <rFont val="Arial Narrow"/>
        <family val="2"/>
      </rPr>
      <t>.</t>
    </r>
  </si>
  <si>
    <t>Safety countermeasures identified at Crash Modification Clearinghouse (www.cmfclearinghouse.org).</t>
  </si>
  <si>
    <t>Grand Total of Safety Benefits, without Discount</t>
  </si>
  <si>
    <t>Grand Total Capital Cost without Discount</t>
  </si>
  <si>
    <t>Table 4. Undiscounted Crash Cost Savings by Year</t>
  </si>
  <si>
    <t>Net Operations and Maintenance Cost, without Discount</t>
  </si>
  <si>
    <t>KABCO Level</t>
  </si>
  <si>
    <t>Crash Costs by KABCO Level</t>
  </si>
  <si>
    <t>Savings in Crash Cost by KABCO Level</t>
  </si>
  <si>
    <r>
      <t>Capital Costs</t>
    </r>
    <r>
      <rPr>
        <sz val="11"/>
        <color theme="1"/>
        <rFont val="Arial Narrow"/>
        <family val="2"/>
      </rPr>
      <t xml:space="preserve"> represents the sum of A</t>
    </r>
    <r>
      <rPr>
        <i/>
        <sz val="11"/>
        <color theme="1"/>
        <rFont val="Arial Narrow"/>
        <family val="2"/>
      </rPr>
      <t>ctivity</t>
    </r>
    <r>
      <rPr>
        <sz val="11"/>
        <color theme="1"/>
        <rFont val="Arial Narrow"/>
        <family val="2"/>
      </rPr>
      <t xml:space="preserve"> expenditures by year.</t>
    </r>
  </si>
  <si>
    <r>
      <rPr>
        <i/>
        <sz val="11"/>
        <color theme="1"/>
        <rFont val="Arial Narrow"/>
        <family val="2"/>
      </rPr>
      <t>Net Cost of Operations and Maintenance</t>
    </r>
    <r>
      <rPr>
        <sz val="11"/>
        <color theme="1"/>
        <rFont val="Arial Narrow"/>
        <family val="2"/>
      </rPr>
      <t xml:space="preserve"> represesents the difference between </t>
    </r>
    <r>
      <rPr>
        <i/>
        <sz val="11"/>
        <color theme="1"/>
        <rFont val="Arial Narrow"/>
        <family val="2"/>
      </rPr>
      <t>No Build</t>
    </r>
    <r>
      <rPr>
        <sz val="11"/>
        <color theme="1"/>
        <rFont val="Arial Narrow"/>
        <family val="2"/>
      </rPr>
      <t xml:space="preserve"> and </t>
    </r>
    <r>
      <rPr>
        <i/>
        <sz val="11"/>
        <color theme="1"/>
        <rFont val="Arial Narrow"/>
        <family val="2"/>
      </rPr>
      <t>Build</t>
    </r>
    <r>
      <rPr>
        <sz val="11"/>
        <color theme="1"/>
        <rFont val="Arial Narrow"/>
        <family val="2"/>
      </rPr>
      <t xml:space="preserve"> expenditures.</t>
    </r>
  </si>
  <si>
    <r>
      <rPr>
        <b/>
        <sz val="11"/>
        <color theme="1"/>
        <rFont val="Arial Narrow"/>
        <family val="2"/>
      </rPr>
      <t>No Build</t>
    </r>
    <r>
      <rPr>
        <sz val="11"/>
        <color theme="1"/>
        <rFont val="Arial Narrow"/>
        <family val="2"/>
      </rPr>
      <t xml:space="preserve"> – The maintenance strategy for the No-Build alternative assumes a series of two-inch overlays of State Highway 198, beginning in 2020 and repeated every five years through 2040.</t>
    </r>
  </si>
  <si>
    <r>
      <rPr>
        <b/>
        <sz val="11"/>
        <color theme="1"/>
        <rFont val="Arial Narrow"/>
        <family val="2"/>
      </rPr>
      <t>Build</t>
    </r>
    <r>
      <rPr>
        <sz val="11"/>
        <color theme="1"/>
        <rFont val="Arial Narrow"/>
        <family val="2"/>
      </rPr>
      <t xml:space="preserve"> – The maintenance strategy for the Build alternative assumes a series of two-inch overlay of State Highway 198, beginning in 2025 and repeated every five years through 2040.</t>
    </r>
  </si>
  <si>
    <t>Table 7. Basic Crash Statistics</t>
  </si>
  <si>
    <t>Table 8. Undiscounted No-Build Crash Costs by Year</t>
  </si>
  <si>
    <t>Table 9. Undiscounted Build Crash Costs by Year</t>
  </si>
  <si>
    <t>Table 10. Crash Rates and Associated Crash Values</t>
  </si>
  <si>
    <t>Table 11. Selected Safety Countermeasures</t>
  </si>
  <si>
    <t>Table 12. Supplemental Crash Rate Data</t>
  </si>
  <si>
    <t>Table 13. Undiscounted Operations and Maintenance Costs</t>
  </si>
  <si>
    <t>Table 14. Maintenance Cost Workup</t>
  </si>
  <si>
    <t>Table 15. Maintenance Strategy</t>
  </si>
  <si>
    <t>Table 16. Undiscounted Capital Costs</t>
  </si>
  <si>
    <t>Table 17. Capital Cost Workup</t>
  </si>
  <si>
    <t>Table 18. Undiscounted Benefits and Costs</t>
  </si>
  <si>
    <t>Table 19. Benefits and Costs at 7% Discount</t>
  </si>
  <si>
    <t>Table 20. Benefits and Costs at 3% Discount</t>
  </si>
  <si>
    <r>
      <t xml:space="preserve">Given the recent and very significant increase in traffic (including truck traffic) on Highway 198, the crash history at this location is not expected to be representative of future crash experience.  Hence, statewide average crash rates for rural two-lane facilities were applied for the safety analysis.  Because statewide average crash rates are a mix of locations of varying lane widths, with and without shoulders, this analysis is expected to produce a somewhat conservative safety benefits of the project.  </t>
    </r>
    <r>
      <rPr>
        <i/>
        <sz val="11"/>
        <color rgb="FF000000"/>
        <rFont val="Arial Narrow"/>
        <family val="2"/>
      </rPr>
      <t>Millon VMT</t>
    </r>
    <r>
      <rPr>
        <sz val="11"/>
        <color rgb="FF000000"/>
        <rFont val="Arial Narrow"/>
        <family val="2"/>
      </rPr>
      <t xml:space="preserve"> derived from </t>
    </r>
    <r>
      <rPr>
        <b/>
        <sz val="11"/>
        <color rgb="FF000000"/>
        <rFont val="Arial Narrow"/>
        <family val="2"/>
      </rPr>
      <t>Table 3</t>
    </r>
    <r>
      <rPr>
        <sz val="11"/>
        <color rgb="FF000000"/>
        <rFont val="Arial Narrow"/>
        <family val="2"/>
      </rPr>
      <t xml:space="preserve"> (Traffic – VMT tab).</t>
    </r>
  </si>
  <si>
    <r>
      <rPr>
        <i/>
        <sz val="11"/>
        <color theme="1"/>
        <rFont val="Arial Narrow"/>
        <family val="2"/>
      </rPr>
      <t>Crash Costs</t>
    </r>
    <r>
      <rPr>
        <sz val="11"/>
        <color theme="1"/>
        <rFont val="Arial Narrow"/>
        <family val="2"/>
      </rPr>
      <t xml:space="preserve"> calculated by multiplying </t>
    </r>
    <r>
      <rPr>
        <i/>
        <sz val="11"/>
        <color theme="1"/>
        <rFont val="Arial Narrow"/>
        <family val="2"/>
      </rPr>
      <t>Crash Rates</t>
    </r>
    <r>
      <rPr>
        <sz val="11"/>
        <color theme="1"/>
        <rFont val="Arial Narrow"/>
        <family val="2"/>
      </rPr>
      <t xml:space="preserve"> from </t>
    </r>
    <r>
      <rPr>
        <b/>
        <sz val="11"/>
        <color theme="1"/>
        <rFont val="Arial Narrow"/>
        <family val="2"/>
      </rPr>
      <t>Table 2</t>
    </r>
    <r>
      <rPr>
        <sz val="11"/>
        <color theme="1"/>
        <rFont val="Arial Narrow"/>
        <family val="2"/>
      </rPr>
      <t xml:space="preserve"> by </t>
    </r>
    <r>
      <rPr>
        <i/>
        <sz val="11"/>
        <color theme="1"/>
        <rFont val="Arial Narrow"/>
        <family val="2"/>
      </rPr>
      <t>Total Value Based on Crash Severity</t>
    </r>
    <r>
      <rPr>
        <sz val="11"/>
        <color theme="1"/>
        <rFont val="Arial Narrow"/>
        <family val="2"/>
      </rPr>
      <t xml:space="preserve"> in </t>
    </r>
    <r>
      <rPr>
        <b/>
        <sz val="11"/>
        <color theme="1"/>
        <rFont val="Arial Narrow"/>
        <family val="2"/>
      </rPr>
      <t>Table 10</t>
    </r>
    <r>
      <rPr>
        <sz val="11"/>
        <color theme="1"/>
        <rFont val="Arial Narrow"/>
        <family val="2"/>
      </rPr>
      <t>.</t>
    </r>
  </si>
  <si>
    <r>
      <rPr>
        <i/>
        <sz val="11"/>
        <color theme="1"/>
        <rFont val="Arial Narrow"/>
        <family val="2"/>
      </rPr>
      <t>Crash Costs</t>
    </r>
    <r>
      <rPr>
        <sz val="11"/>
        <color theme="1"/>
        <rFont val="Arial Narrow"/>
        <family val="2"/>
      </rPr>
      <t xml:space="preserve"> calculated by multiplying </t>
    </r>
    <r>
      <rPr>
        <i/>
        <sz val="11"/>
        <color theme="1"/>
        <rFont val="Arial Narrow"/>
        <family val="2"/>
      </rPr>
      <t>Crash Costs</t>
    </r>
    <r>
      <rPr>
        <sz val="11"/>
        <color theme="1"/>
        <rFont val="Arial Narrow"/>
        <family val="2"/>
      </rPr>
      <t xml:space="preserve"> from </t>
    </r>
    <r>
      <rPr>
        <b/>
        <sz val="11"/>
        <color theme="1"/>
        <rFont val="Arial Narrow"/>
        <family val="2"/>
      </rPr>
      <t xml:space="preserve">Table 8 </t>
    </r>
    <r>
      <rPr>
        <sz val="11"/>
        <color theme="1"/>
        <rFont val="Arial Narrow"/>
        <family val="2"/>
      </rPr>
      <t xml:space="preserve">by </t>
    </r>
    <r>
      <rPr>
        <i/>
        <sz val="11"/>
        <color theme="1"/>
        <rFont val="Arial Narrow"/>
        <family val="2"/>
      </rPr>
      <t xml:space="preserve">Multiplicative Factor </t>
    </r>
    <r>
      <rPr>
        <sz val="11"/>
        <color theme="1"/>
        <rFont val="Arial Narrow"/>
        <family val="2"/>
      </rPr>
      <t xml:space="preserve">in </t>
    </r>
    <r>
      <rPr>
        <b/>
        <sz val="11"/>
        <color theme="1"/>
        <rFont val="Arial Narrow"/>
        <family val="2"/>
      </rPr>
      <t>Table 11</t>
    </r>
    <r>
      <rPr>
        <sz val="11"/>
        <color theme="1"/>
        <rFont val="Arial Narrow"/>
        <family val="2"/>
      </rPr>
      <t>.  No crash benefits are expected to be realized until the opening year of the project (2021).</t>
    </r>
  </si>
  <si>
    <r>
      <rPr>
        <i/>
        <sz val="11"/>
        <color theme="1"/>
        <rFont val="Arial Narrow"/>
        <family val="2"/>
      </rPr>
      <t>Savings in Crash Costs</t>
    </r>
    <r>
      <rPr>
        <sz val="11"/>
        <color theme="1"/>
        <rFont val="Arial Narrow"/>
        <family val="2"/>
      </rPr>
      <t xml:space="preserve"> calculated by taking the difference between the </t>
    </r>
    <r>
      <rPr>
        <i/>
        <sz val="11"/>
        <color theme="1"/>
        <rFont val="Arial Narrow"/>
        <family val="2"/>
      </rPr>
      <t>No Build</t>
    </r>
    <r>
      <rPr>
        <sz val="11"/>
        <color theme="1"/>
        <rFont val="Arial Narrow"/>
        <family val="2"/>
      </rPr>
      <t xml:space="preserve"> and </t>
    </r>
    <r>
      <rPr>
        <i/>
        <sz val="11"/>
        <color theme="1"/>
        <rFont val="Arial Narrow"/>
        <family val="2"/>
      </rPr>
      <t>Build Crash Costs</t>
    </r>
    <r>
      <rPr>
        <sz val="11"/>
        <color theme="1"/>
        <rFont val="Arial Narrow"/>
        <family val="2"/>
      </rPr>
      <t xml:space="preserve"> in </t>
    </r>
    <r>
      <rPr>
        <b/>
        <sz val="11"/>
        <color theme="1"/>
        <rFont val="Arial Narrow"/>
        <family val="2"/>
      </rPr>
      <t>Tables 8</t>
    </r>
    <r>
      <rPr>
        <sz val="11"/>
        <color theme="1"/>
        <rFont val="Arial Narrow"/>
        <family val="2"/>
      </rPr>
      <t xml:space="preserve"> and </t>
    </r>
    <r>
      <rPr>
        <b/>
        <sz val="11"/>
        <color theme="1"/>
        <rFont val="Arial Narrow"/>
        <family val="2"/>
      </rPr>
      <t>9</t>
    </r>
    <r>
      <rPr>
        <sz val="11"/>
        <color theme="1"/>
        <rFont val="Arial Narrow"/>
        <family val="2"/>
      </rPr>
      <t xml:space="preserve">.  </t>
    </r>
    <r>
      <rPr>
        <i/>
        <sz val="11"/>
        <color theme="1"/>
        <rFont val="Arial Narrow"/>
        <family val="2"/>
      </rPr>
      <t>Safety Benefits</t>
    </r>
    <r>
      <rPr>
        <sz val="11"/>
        <color theme="1"/>
        <rFont val="Arial Narrow"/>
        <family val="2"/>
      </rPr>
      <t xml:space="preserve"> represents the total of </t>
    </r>
    <r>
      <rPr>
        <i/>
        <sz val="11"/>
        <color theme="1"/>
        <rFont val="Arial Narrow"/>
        <family val="2"/>
      </rPr>
      <t xml:space="preserve">Savings in Crash Costs </t>
    </r>
    <r>
      <rPr>
        <sz val="11"/>
        <color theme="1"/>
        <rFont val="Arial Narrow"/>
        <family val="2"/>
      </rPr>
      <t>for each year.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</si>
</sst>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_);_(&quot;$&quot;* \(#,##0\);_(&quot;$&quot;* &quot;-&quot;??_);_(@_)"/>
    <numFmt numFmtId="165" formatCode="&quot;$&quot;#,##0"/>
    <numFmt numFmtId="166" formatCode="0.0000"/>
  </numFmts>
  <fonts count="9" x14ac:knownFonts="1">
    <font>
      <sz val="11"/>
      <color theme="1"/>
      <name val="Calibri"/>
      <family val="2"/>
      <scheme val="minor"/>
    </font>
    <font>
      <sz val="11"/>
      <color theme="1"/>
      <name val="Calibri"/>
      <family val="2"/>
      <scheme val="minor"/>
    </font>
    <font>
      <sz val="11"/>
      <color theme="1"/>
      <name val="Arial Narrow"/>
      <family val="2"/>
    </font>
    <font>
      <i/>
      <sz val="11"/>
      <color theme="1"/>
      <name val="Arial Narrow"/>
      <family val="2"/>
    </font>
    <font>
      <b/>
      <sz val="11"/>
      <color theme="1"/>
      <name val="Arial Narrow"/>
      <family val="2"/>
    </font>
    <font>
      <sz val="11"/>
      <name val="Arial Narrow"/>
      <family val="2"/>
    </font>
    <font>
      <sz val="11"/>
      <color rgb="FF000000"/>
      <name val="Arial Narrow"/>
      <family val="2"/>
    </font>
    <font>
      <i/>
      <sz val="11"/>
      <color rgb="FF000000"/>
      <name val="Arial Narrow"/>
      <family val="2"/>
    </font>
    <font>
      <b/>
      <sz val="11"/>
      <color rgb="FF000000"/>
      <name val="Arial Narrow"/>
      <family val="2"/>
    </font>
  </fonts>
  <fills count="6">
    <fill>
      <patternFill patternType="none"/>
    </fill>
    <fill>
      <patternFill patternType="gray125"/>
    </fill>
    <fill>
      <patternFill patternType="solid">
        <fgColor theme="0" tint="-0.249977111117893"/>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43">
    <xf numFmtId="0" fontId="0" fillId="0" borderId="0" xfId="0"/>
    <xf numFmtId="0" fontId="2" fillId="0" borderId="0" xfId="0" applyFont="1"/>
    <xf numFmtId="0" fontId="2" fillId="0" borderId="0" xfId="0" applyFont="1" applyAlignment="1">
      <alignment horizontal="center" vertical="center" wrapText="1"/>
    </xf>
    <xf numFmtId="164" fontId="2" fillId="0" borderId="0" xfId="1" applyNumberFormat="1" applyFont="1"/>
    <xf numFmtId="164" fontId="2" fillId="0" borderId="0" xfId="0" applyNumberFormat="1" applyFont="1"/>
    <xf numFmtId="2" fontId="2" fillId="0" borderId="0" xfId="0" applyNumberFormat="1" applyFont="1" applyAlignment="1">
      <alignment horizontal="center"/>
    </xf>
    <xf numFmtId="0" fontId="2" fillId="0" borderId="0" xfId="0" applyFont="1" applyAlignment="1">
      <alignment horizontal="center"/>
    </xf>
    <xf numFmtId="0" fontId="2" fillId="0" borderId="0" xfId="0" applyFont="1" applyAlignment="1">
      <alignment horizontal="right"/>
    </xf>
    <xf numFmtId="0" fontId="4" fillId="0" borderId="0" xfId="0" applyFont="1" applyAlignment="1">
      <alignment horizontal="right"/>
    </xf>
    <xf numFmtId="0" fontId="2" fillId="0" borderId="0" xfId="0" applyFont="1" applyFill="1"/>
    <xf numFmtId="0" fontId="2" fillId="0" borderId="0" xfId="0" applyFont="1" applyFill="1" applyAlignment="1">
      <alignment horizontal="right"/>
    </xf>
    <xf numFmtId="0" fontId="3" fillId="4" borderId="53" xfId="0" applyFont="1" applyFill="1" applyBorder="1" applyAlignment="1">
      <alignment horizontal="center" vertical="center" wrapText="1"/>
    </xf>
    <xf numFmtId="164" fontId="2" fillId="4" borderId="51" xfId="1" applyNumberFormat="1" applyFont="1" applyFill="1" applyBorder="1"/>
    <xf numFmtId="164" fontId="2" fillId="4" borderId="1" xfId="1" applyNumberFormat="1" applyFont="1" applyFill="1" applyBorder="1"/>
    <xf numFmtId="1" fontId="2" fillId="0" borderId="16" xfId="0" applyNumberFormat="1" applyFont="1" applyBorder="1" applyAlignment="1">
      <alignment horizontal="center"/>
    </xf>
    <xf numFmtId="164" fontId="2" fillId="4" borderId="52" xfId="1" applyNumberFormat="1" applyFont="1" applyFill="1" applyBorder="1"/>
    <xf numFmtId="164" fontId="2" fillId="3" borderId="22" xfId="1" applyNumberFormat="1" applyFont="1" applyFill="1" applyBorder="1"/>
    <xf numFmtId="1" fontId="2" fillId="0" borderId="56" xfId="1" applyNumberFormat="1" applyFont="1" applyBorder="1" applyAlignment="1">
      <alignment horizontal="center"/>
    </xf>
    <xf numFmtId="164" fontId="2" fillId="3" borderId="57" xfId="1" applyNumberFormat="1" applyFont="1" applyFill="1" applyBorder="1"/>
    <xf numFmtId="1" fontId="2" fillId="0" borderId="56" xfId="0" applyNumberFormat="1" applyFont="1" applyBorder="1" applyAlignment="1">
      <alignment horizontal="center"/>
    </xf>
    <xf numFmtId="1" fontId="2" fillId="0" borderId="17" xfId="1" applyNumberFormat="1" applyFont="1" applyBorder="1" applyAlignment="1">
      <alignment horizontal="center"/>
    </xf>
    <xf numFmtId="164" fontId="2" fillId="4" borderId="53" xfId="1" applyNumberFormat="1" applyFont="1" applyFill="1" applyBorder="1"/>
    <xf numFmtId="164" fontId="2" fillId="3" borderId="47" xfId="1" applyNumberFormat="1" applyFont="1" applyFill="1" applyBorder="1"/>
    <xf numFmtId="164" fontId="2" fillId="4" borderId="35" xfId="0" applyNumberFormat="1" applyFont="1" applyFill="1" applyBorder="1"/>
    <xf numFmtId="164" fontId="2" fillId="3" borderId="35" xfId="0" applyNumberFormat="1" applyFont="1" applyFill="1" applyBorder="1"/>
    <xf numFmtId="164" fontId="4" fillId="0" borderId="35" xfId="0" applyNumberFormat="1" applyFont="1" applyBorder="1"/>
    <xf numFmtId="1" fontId="2" fillId="0" borderId="6" xfId="0" applyNumberFormat="1" applyFont="1" applyBorder="1" applyAlignment="1">
      <alignment horizontal="center"/>
    </xf>
    <xf numFmtId="164" fontId="2" fillId="3" borderId="7" xfId="1" applyNumberFormat="1" applyFont="1" applyFill="1" applyBorder="1"/>
    <xf numFmtId="1" fontId="2" fillId="0" borderId="6" xfId="1" applyNumberFormat="1" applyFont="1" applyBorder="1" applyAlignment="1">
      <alignment horizontal="center"/>
    </xf>
    <xf numFmtId="1" fontId="2" fillId="0" borderId="8" xfId="1" applyNumberFormat="1" applyFont="1" applyBorder="1" applyAlignment="1">
      <alignment horizontal="center"/>
    </xf>
    <xf numFmtId="164" fontId="2" fillId="3" borderId="9" xfId="1" applyNumberFormat="1" applyFont="1" applyFill="1" applyBorder="1"/>
    <xf numFmtId="1" fontId="2" fillId="0" borderId="10" xfId="0" applyNumberFormat="1" applyFont="1" applyBorder="1" applyAlignment="1">
      <alignment horizontal="center"/>
    </xf>
    <xf numFmtId="164" fontId="2" fillId="3" borderId="11" xfId="1" applyNumberFormat="1" applyFont="1" applyFill="1" applyBorder="1"/>
    <xf numFmtId="164" fontId="2" fillId="4" borderId="58" xfId="0" applyNumberFormat="1" applyFont="1" applyFill="1" applyBorder="1"/>
    <xf numFmtId="2" fontId="4" fillId="0" borderId="35" xfId="0" applyNumberFormat="1" applyFont="1" applyBorder="1" applyAlignment="1">
      <alignment horizontal="center"/>
    </xf>
    <xf numFmtId="0" fontId="3" fillId="4" borderId="55" xfId="0" applyFont="1" applyFill="1" applyBorder="1" applyAlignment="1">
      <alignment horizontal="center" vertical="center" wrapText="1"/>
    </xf>
    <xf numFmtId="0" fontId="3" fillId="0" borderId="53" xfId="0" applyFont="1" applyBorder="1" applyAlignment="1">
      <alignment horizontal="center"/>
    </xf>
    <xf numFmtId="0" fontId="3" fillId="0" borderId="9" xfId="0" applyFont="1" applyBorder="1" applyAlignment="1">
      <alignment horizontal="center"/>
    </xf>
    <xf numFmtId="0" fontId="2" fillId="0" borderId="36" xfId="0" applyFont="1" applyBorder="1" applyAlignment="1">
      <alignment horizontal="center"/>
    </xf>
    <xf numFmtId="2" fontId="2" fillId="0" borderId="52" xfId="0" applyNumberFormat="1" applyFont="1" applyBorder="1" applyAlignment="1">
      <alignment horizontal="center"/>
    </xf>
    <xf numFmtId="166" fontId="2" fillId="0" borderId="52" xfId="0" applyNumberFormat="1" applyFont="1" applyBorder="1" applyAlignment="1">
      <alignment horizontal="center"/>
    </xf>
    <xf numFmtId="0" fontId="2" fillId="0" borderId="52" xfId="0" applyFont="1" applyBorder="1" applyAlignment="1">
      <alignment horizontal="center"/>
    </xf>
    <xf numFmtId="0" fontId="2" fillId="0" borderId="37" xfId="0" applyFont="1" applyBorder="1" applyAlignment="1">
      <alignment horizontal="center"/>
    </xf>
    <xf numFmtId="164" fontId="2" fillId="0" borderId="52" xfId="1" applyNumberFormat="1" applyFont="1" applyBorder="1" applyAlignment="1">
      <alignment horizontal="center"/>
    </xf>
    <xf numFmtId="164" fontId="2" fillId="0" borderId="52" xfId="0" applyNumberFormat="1" applyFont="1" applyBorder="1" applyAlignment="1">
      <alignment horizontal="center"/>
    </xf>
    <xf numFmtId="164" fontId="2" fillId="0" borderId="37" xfId="0" applyNumberFormat="1" applyFont="1" applyBorder="1" applyAlignment="1">
      <alignment horizontal="center"/>
    </xf>
    <xf numFmtId="164" fontId="5" fillId="0" borderId="52" xfId="1" applyNumberFormat="1" applyFont="1" applyBorder="1" applyAlignment="1">
      <alignment horizontal="center"/>
    </xf>
    <xf numFmtId="164" fontId="5" fillId="0" borderId="37" xfId="1" applyNumberFormat="1" applyFont="1" applyBorder="1" applyAlignment="1">
      <alignment horizontal="center"/>
    </xf>
    <xf numFmtId="164" fontId="2" fillId="0" borderId="37" xfId="1" applyNumberFormat="1" applyFont="1" applyBorder="1" applyAlignment="1">
      <alignment horizontal="center"/>
    </xf>
    <xf numFmtId="164" fontId="2" fillId="0" borderId="0" xfId="0" applyNumberFormat="1" applyFont="1" applyAlignment="1">
      <alignment horizontal="center"/>
    </xf>
    <xf numFmtId="0" fontId="2" fillId="0" borderId="6" xfId="0" applyFont="1" applyBorder="1" applyAlignment="1">
      <alignment horizontal="center"/>
    </xf>
    <xf numFmtId="2" fontId="2" fillId="0" borderId="1" xfId="0" applyNumberFormat="1" applyFont="1" applyBorder="1" applyAlignment="1">
      <alignment horizontal="center"/>
    </xf>
    <xf numFmtId="166" fontId="2" fillId="0" borderId="1" xfId="0" applyNumberFormat="1"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center"/>
    </xf>
    <xf numFmtId="164" fontId="2" fillId="0" borderId="1" xfId="1" applyNumberFormat="1" applyFont="1" applyBorder="1" applyAlignment="1">
      <alignment horizontal="center"/>
    </xf>
    <xf numFmtId="164" fontId="2" fillId="0" borderId="1" xfId="0" applyNumberFormat="1" applyFont="1" applyBorder="1" applyAlignment="1">
      <alignment horizontal="center"/>
    </xf>
    <xf numFmtId="164" fontId="2" fillId="0" borderId="7" xfId="0" applyNumberFormat="1" applyFont="1" applyBorder="1" applyAlignment="1">
      <alignment horizontal="center"/>
    </xf>
    <xf numFmtId="164" fontId="5" fillId="0" borderId="1" xfId="1" applyNumberFormat="1" applyFont="1" applyBorder="1" applyAlignment="1">
      <alignment horizontal="center"/>
    </xf>
    <xf numFmtId="164" fontId="5" fillId="0" borderId="7" xfId="1" applyNumberFormat="1" applyFont="1" applyBorder="1" applyAlignment="1">
      <alignment horizontal="center"/>
    </xf>
    <xf numFmtId="164" fontId="2" fillId="0" borderId="7" xfId="1" applyNumberFormat="1" applyFont="1" applyBorder="1" applyAlignment="1">
      <alignment horizontal="center"/>
    </xf>
    <xf numFmtId="0" fontId="2" fillId="0" borderId="0" xfId="0" applyNumberFormat="1" applyFont="1" applyAlignment="1">
      <alignment horizontal="center"/>
    </xf>
    <xf numFmtId="0" fontId="2" fillId="0" borderId="8" xfId="0" applyFont="1" applyBorder="1" applyAlignment="1">
      <alignment horizontal="center"/>
    </xf>
    <xf numFmtId="2" fontId="2" fillId="0" borderId="53" xfId="0" applyNumberFormat="1" applyFont="1" applyBorder="1" applyAlignment="1">
      <alignment horizontal="center"/>
    </xf>
    <xf numFmtId="166" fontId="2" fillId="0" borderId="53" xfId="0" applyNumberFormat="1" applyFont="1" applyBorder="1" applyAlignment="1">
      <alignment horizontal="center"/>
    </xf>
    <xf numFmtId="0" fontId="2" fillId="0" borderId="53" xfId="0" applyFont="1" applyBorder="1" applyAlignment="1">
      <alignment horizontal="center"/>
    </xf>
    <xf numFmtId="0" fontId="2" fillId="0" borderId="9" xfId="0" applyFont="1" applyBorder="1" applyAlignment="1">
      <alignment horizontal="center"/>
    </xf>
    <xf numFmtId="164" fontId="2" fillId="0" borderId="53" xfId="1" applyNumberFormat="1" applyFont="1" applyBorder="1" applyAlignment="1">
      <alignment horizontal="center"/>
    </xf>
    <xf numFmtId="164" fontId="2" fillId="0" borderId="53" xfId="0" applyNumberFormat="1" applyFont="1" applyBorder="1" applyAlignment="1">
      <alignment horizontal="center"/>
    </xf>
    <xf numFmtId="164" fontId="2" fillId="0" borderId="9" xfId="0" applyNumberFormat="1" applyFont="1" applyBorder="1" applyAlignment="1">
      <alignment horizontal="center"/>
    </xf>
    <xf numFmtId="164" fontId="2" fillId="0" borderId="9" xfId="1" applyNumberFormat="1" applyFont="1" applyBorder="1" applyAlignment="1">
      <alignment horizontal="center"/>
    </xf>
    <xf numFmtId="0" fontId="2" fillId="0" borderId="0" xfId="0" applyFont="1" applyAlignment="1">
      <alignment horizontal="center" wrapText="1"/>
    </xf>
    <xf numFmtId="166" fontId="2" fillId="0" borderId="0" xfId="0" applyNumberFormat="1" applyFont="1" applyAlignment="1">
      <alignment horizontal="center"/>
    </xf>
    <xf numFmtId="164" fontId="2" fillId="4" borderId="37" xfId="1" applyNumberFormat="1" applyFont="1" applyFill="1" applyBorder="1"/>
    <xf numFmtId="164" fontId="2" fillId="4" borderId="7" xfId="1" applyNumberFormat="1" applyFont="1" applyFill="1" applyBorder="1"/>
    <xf numFmtId="164" fontId="2" fillId="4" borderId="9" xfId="1" applyNumberFormat="1" applyFont="1" applyFill="1" applyBorder="1"/>
    <xf numFmtId="164" fontId="2" fillId="4" borderId="2" xfId="0" applyNumberFormat="1" applyFont="1" applyFill="1" applyBorder="1" applyAlignment="1">
      <alignment horizontal="center"/>
    </xf>
    <xf numFmtId="164" fontId="2" fillId="4" borderId="3" xfId="0" applyNumberFormat="1" applyFont="1" applyFill="1" applyBorder="1" applyAlignment="1">
      <alignment horizontal="center"/>
    </xf>
    <xf numFmtId="164" fontId="2" fillId="4" borderId="4" xfId="0" applyNumberFormat="1" applyFont="1" applyFill="1" applyBorder="1" applyAlignment="1">
      <alignment horizontal="center"/>
    </xf>
    <xf numFmtId="0" fontId="3" fillId="0" borderId="0" xfId="0" applyFont="1" applyAlignment="1">
      <alignment horizontal="center" vertical="center" wrapText="1"/>
    </xf>
    <xf numFmtId="0" fontId="2" fillId="0" borderId="0" xfId="0" applyFont="1" applyAlignment="1">
      <alignment wrapText="1"/>
    </xf>
    <xf numFmtId="0" fontId="3" fillId="0" borderId="14" xfId="0" applyFont="1" applyBorder="1" applyAlignment="1">
      <alignment horizontal="center" vertical="center" wrapText="1"/>
    </xf>
    <xf numFmtId="0" fontId="2" fillId="0" borderId="0" xfId="0" applyFont="1" applyAlignment="1">
      <alignment horizontal="center" vertical="center"/>
    </xf>
    <xf numFmtId="0" fontId="3" fillId="0" borderId="5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9" xfId="0" applyFont="1" applyBorder="1" applyAlignment="1">
      <alignment horizontal="center" vertical="center" wrapText="1"/>
    </xf>
    <xf numFmtId="0" fontId="2" fillId="0" borderId="0" xfId="0" applyFont="1" applyAlignment="1">
      <alignment vertical="center"/>
    </xf>
    <xf numFmtId="0" fontId="2" fillId="0" borderId="36" xfId="0" applyFont="1" applyBorder="1" applyAlignment="1">
      <alignment horizontal="center" vertical="center"/>
    </xf>
    <xf numFmtId="1" fontId="2" fillId="0" borderId="52" xfId="0" applyNumberFormat="1" applyFont="1" applyBorder="1" applyAlignment="1">
      <alignment horizontal="center" vertical="center"/>
    </xf>
    <xf numFmtId="9" fontId="2" fillId="0" borderId="52" xfId="0" applyNumberFormat="1" applyFont="1" applyBorder="1" applyAlignment="1">
      <alignment horizontal="center" vertical="center"/>
    </xf>
    <xf numFmtId="1" fontId="2" fillId="0" borderId="37" xfId="0" applyNumberFormat="1" applyFont="1" applyBorder="1" applyAlignment="1">
      <alignment horizontal="center" vertical="center"/>
    </xf>
    <xf numFmtId="0" fontId="2" fillId="0" borderId="52" xfId="0" applyFont="1" applyBorder="1" applyAlignment="1">
      <alignment horizontal="center" vertical="center"/>
    </xf>
    <xf numFmtId="1" fontId="2" fillId="0" borderId="36" xfId="0" applyNumberFormat="1" applyFont="1" applyBorder="1" applyAlignment="1">
      <alignment horizontal="center"/>
    </xf>
    <xf numFmtId="1" fontId="2" fillId="0" borderId="52" xfId="0" applyNumberFormat="1" applyFont="1" applyBorder="1" applyAlignment="1">
      <alignment horizontal="center"/>
    </xf>
    <xf numFmtId="1" fontId="2" fillId="0" borderId="38" xfId="0" applyNumberFormat="1" applyFont="1" applyBorder="1" applyAlignment="1">
      <alignment horizontal="center"/>
    </xf>
    <xf numFmtId="1" fontId="2" fillId="0" borderId="37" xfId="0" applyNumberFormat="1" applyFont="1" applyBorder="1" applyAlignment="1">
      <alignment horizontal="center"/>
    </xf>
    <xf numFmtId="0" fontId="2" fillId="0" borderId="0" xfId="0" applyFont="1" applyBorder="1" applyAlignment="1">
      <alignment wrapText="1"/>
    </xf>
    <xf numFmtId="0" fontId="2" fillId="0" borderId="6" xfId="0" applyFont="1" applyBorder="1" applyAlignment="1">
      <alignment horizontal="center" vertical="center"/>
    </xf>
    <xf numFmtId="1"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1" fontId="2" fillId="0" borderId="7" xfId="0" applyNumberFormat="1" applyFont="1" applyBorder="1" applyAlignment="1">
      <alignment horizontal="center" vertical="center"/>
    </xf>
    <xf numFmtId="1" fontId="2" fillId="0" borderId="1" xfId="0" applyNumberFormat="1" applyFont="1" applyBorder="1" applyAlignment="1">
      <alignment horizontal="center"/>
    </xf>
    <xf numFmtId="1" fontId="2" fillId="0" borderId="25" xfId="0" applyNumberFormat="1" applyFont="1" applyBorder="1" applyAlignment="1">
      <alignment horizontal="center"/>
    </xf>
    <xf numFmtId="1" fontId="2" fillId="0" borderId="7" xfId="0" applyNumberFormat="1" applyFont="1" applyBorder="1" applyAlignment="1">
      <alignment horizontal="center"/>
    </xf>
    <xf numFmtId="0" fontId="2" fillId="0" borderId="0" xfId="0" applyFont="1" applyBorder="1"/>
    <xf numFmtId="0" fontId="2" fillId="0" borderId="0" xfId="0" applyFont="1" applyAlignment="1"/>
    <xf numFmtId="0" fontId="2" fillId="0" borderId="6" xfId="0" applyFont="1" applyFill="1" applyBorder="1" applyAlignment="1">
      <alignment horizontal="center" vertical="center"/>
    </xf>
    <xf numFmtId="1" fontId="2" fillId="0" borderId="1" xfId="0" applyNumberFormat="1" applyFont="1" applyFill="1" applyBorder="1" applyAlignment="1">
      <alignment horizontal="center" vertical="center"/>
    </xf>
    <xf numFmtId="9" fontId="2" fillId="0" borderId="1" xfId="0" applyNumberFormat="1" applyFont="1" applyFill="1" applyBorder="1" applyAlignment="1">
      <alignment horizontal="center" vertical="center"/>
    </xf>
    <xf numFmtId="1" fontId="2" fillId="0" borderId="7" xfId="0" applyNumberFormat="1" applyFont="1" applyFill="1" applyBorder="1" applyAlignment="1">
      <alignment horizontal="center" vertical="center"/>
    </xf>
    <xf numFmtId="0" fontId="2" fillId="0" borderId="8" xfId="0" applyFont="1" applyBorder="1" applyAlignment="1">
      <alignment horizontal="center" vertical="center"/>
    </xf>
    <xf numFmtId="1" fontId="2" fillId="0" borderId="53" xfId="0" applyNumberFormat="1" applyFont="1" applyBorder="1" applyAlignment="1">
      <alignment horizontal="center" vertical="center"/>
    </xf>
    <xf numFmtId="9" fontId="2" fillId="0" borderId="53" xfId="0" applyNumberFormat="1" applyFont="1" applyBorder="1" applyAlignment="1">
      <alignment horizontal="center" vertical="center"/>
    </xf>
    <xf numFmtId="1" fontId="2" fillId="0" borderId="9" xfId="0" applyNumberFormat="1" applyFont="1" applyBorder="1" applyAlignment="1">
      <alignment horizontal="center" vertical="center"/>
    </xf>
    <xf numFmtId="1" fontId="2" fillId="0" borderId="8" xfId="0" applyNumberFormat="1" applyFont="1" applyBorder="1" applyAlignment="1">
      <alignment horizontal="center"/>
    </xf>
    <xf numFmtId="1" fontId="2" fillId="0" borderId="53" xfId="0" applyNumberFormat="1" applyFont="1" applyBorder="1" applyAlignment="1">
      <alignment horizontal="center"/>
    </xf>
    <xf numFmtId="1" fontId="2" fillId="0" borderId="23" xfId="0" applyNumberFormat="1" applyFont="1" applyBorder="1" applyAlignment="1">
      <alignment horizontal="center"/>
    </xf>
    <xf numFmtId="1" fontId="2" fillId="0" borderId="9" xfId="0" applyNumberFormat="1" applyFont="1" applyBorder="1" applyAlignment="1">
      <alignment horizontal="center"/>
    </xf>
    <xf numFmtId="0" fontId="2" fillId="0" borderId="0"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2" fillId="0" borderId="26" xfId="0" applyFont="1" applyBorder="1" applyAlignment="1">
      <alignment horizontal="center" vertical="center"/>
    </xf>
    <xf numFmtId="1" fontId="2" fillId="0" borderId="14" xfId="0" applyNumberFormat="1" applyFont="1" applyBorder="1" applyAlignment="1">
      <alignment horizontal="center" vertical="center"/>
    </xf>
    <xf numFmtId="1" fontId="2" fillId="0" borderId="15" xfId="0" applyNumberFormat="1" applyFont="1" applyBorder="1" applyAlignment="1">
      <alignment horizontal="center" vertical="center"/>
    </xf>
    <xf numFmtId="0" fontId="2" fillId="0" borderId="0" xfId="0" applyFont="1" applyBorder="1" applyAlignment="1">
      <alignment horizontal="right" vertical="center"/>
    </xf>
    <xf numFmtId="9" fontId="2" fillId="0" borderId="44" xfId="2"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right" vertical="center"/>
    </xf>
    <xf numFmtId="0" fontId="2" fillId="0" borderId="36"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26" xfId="0" applyFont="1" applyFill="1" applyBorder="1" applyAlignment="1">
      <alignment horizontal="center" vertical="center"/>
    </xf>
    <xf numFmtId="1" fontId="2" fillId="0" borderId="33" xfId="0" applyNumberFormat="1" applyFont="1" applyBorder="1" applyAlignment="1">
      <alignment horizontal="center" vertical="center"/>
    </xf>
    <xf numFmtId="0" fontId="2" fillId="0" borderId="0" xfId="0" applyFont="1" applyBorder="1" applyAlignment="1">
      <alignment horizontal="center" vertical="center" wrapText="1"/>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3" fillId="0" borderId="47" xfId="0" applyFont="1" applyBorder="1" applyAlignment="1">
      <alignment horizontal="center" vertical="center"/>
    </xf>
    <xf numFmtId="0" fontId="2" fillId="0" borderId="62" xfId="0" applyFont="1" applyBorder="1" applyAlignment="1">
      <alignment horizontal="center" vertical="center"/>
    </xf>
    <xf numFmtId="0" fontId="2" fillId="0" borderId="24" xfId="0" applyFont="1" applyBorder="1" applyAlignment="1">
      <alignment horizontal="center" vertical="center"/>
    </xf>
    <xf numFmtId="9" fontId="2" fillId="0" borderId="11" xfId="0" applyNumberFormat="1" applyFont="1" applyBorder="1" applyAlignment="1">
      <alignment horizontal="center" vertical="center"/>
    </xf>
    <xf numFmtId="0" fontId="2" fillId="0" borderId="3" xfId="0" applyFont="1" applyBorder="1" applyAlignment="1">
      <alignment horizontal="center" vertical="center"/>
    </xf>
    <xf numFmtId="0" fontId="2" fillId="0" borderId="25" xfId="0" applyFont="1" applyBorder="1" applyAlignment="1">
      <alignment horizontal="center" vertical="center"/>
    </xf>
    <xf numFmtId="9" fontId="2" fillId="0" borderId="7" xfId="0" applyNumberFormat="1" applyFont="1" applyBorder="1" applyAlignment="1">
      <alignment horizontal="center" vertical="center"/>
    </xf>
    <xf numFmtId="0" fontId="2" fillId="0" borderId="49" xfId="0" applyFont="1" applyBorder="1" applyAlignment="1">
      <alignment horizontal="center" vertical="center"/>
    </xf>
    <xf numFmtId="0" fontId="2" fillId="0" borderId="29" xfId="0" applyFont="1" applyBorder="1" applyAlignment="1">
      <alignment horizontal="center" vertical="center"/>
    </xf>
    <xf numFmtId="0" fontId="2" fillId="0" borderId="35" xfId="0" applyFont="1" applyBorder="1" applyAlignment="1">
      <alignment horizontal="center" vertical="center"/>
    </xf>
    <xf numFmtId="0" fontId="2" fillId="0" borderId="33" xfId="0" applyFont="1" applyBorder="1" applyAlignment="1">
      <alignment horizontal="center" vertical="center"/>
    </xf>
    <xf numFmtId="9" fontId="2" fillId="0" borderId="15" xfId="0" applyNumberFormat="1" applyFont="1" applyBorder="1" applyAlignment="1">
      <alignment horizontal="center" vertical="center"/>
    </xf>
    <xf numFmtId="0" fontId="2" fillId="2" borderId="50" xfId="0" applyFont="1" applyFill="1" applyBorder="1" applyAlignment="1">
      <alignment horizontal="center" vertical="center"/>
    </xf>
    <xf numFmtId="0" fontId="2" fillId="2" borderId="28" xfId="0" applyFont="1" applyFill="1" applyBorder="1" applyAlignment="1">
      <alignment horizontal="center" vertical="center"/>
    </xf>
    <xf numFmtId="9" fontId="2" fillId="2" borderId="48" xfId="0" applyNumberFormat="1" applyFont="1" applyFill="1" applyBorder="1" applyAlignment="1">
      <alignment horizontal="center" vertical="center"/>
    </xf>
    <xf numFmtId="9" fontId="2" fillId="2" borderId="46" xfId="0" applyNumberFormat="1" applyFont="1" applyFill="1" applyBorder="1" applyAlignment="1">
      <alignment horizontal="center" vertical="center"/>
    </xf>
    <xf numFmtId="0" fontId="2" fillId="0" borderId="0" xfId="0" applyFont="1" applyAlignment="1">
      <alignment horizontal="left"/>
    </xf>
    <xf numFmtId="0" fontId="3" fillId="0" borderId="14"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4" borderId="15" xfId="0" applyFont="1" applyFill="1" applyBorder="1" applyAlignment="1">
      <alignment horizontal="center" vertical="center" wrapText="1"/>
    </xf>
    <xf numFmtId="164" fontId="2" fillId="0" borderId="52" xfId="1" applyNumberFormat="1" applyFont="1" applyFill="1" applyBorder="1"/>
    <xf numFmtId="0" fontId="3" fillId="0" borderId="14" xfId="0" applyFont="1" applyFill="1" applyBorder="1" applyAlignment="1">
      <alignment horizontal="right"/>
    </xf>
    <xf numFmtId="0" fontId="3" fillId="0" borderId="54" xfId="0" applyFont="1" applyFill="1" applyBorder="1" applyAlignment="1">
      <alignment horizontal="center"/>
    </xf>
    <xf numFmtId="0" fontId="3" fillId="0" borderId="15" xfId="0" applyFont="1" applyFill="1" applyBorder="1" applyAlignment="1">
      <alignment horizontal="left"/>
    </xf>
    <xf numFmtId="164" fontId="2" fillId="0" borderId="1" xfId="1" applyNumberFormat="1" applyFont="1" applyFill="1" applyBorder="1"/>
    <xf numFmtId="0" fontId="2" fillId="0" borderId="36" xfId="0" applyFont="1" applyBorder="1" applyAlignment="1">
      <alignment horizontal="right"/>
    </xf>
    <xf numFmtId="0" fontId="2" fillId="0" borderId="37" xfId="0" applyFont="1" applyBorder="1" applyAlignment="1">
      <alignment horizontal="left"/>
    </xf>
    <xf numFmtId="0" fontId="2" fillId="0" borderId="6" xfId="0" applyFont="1" applyBorder="1" applyAlignment="1">
      <alignment horizontal="right"/>
    </xf>
    <xf numFmtId="0" fontId="2" fillId="0" borderId="7" xfId="0" applyFont="1" applyBorder="1" applyAlignment="1">
      <alignment horizontal="left"/>
    </xf>
    <xf numFmtId="164" fontId="2" fillId="0" borderId="1" xfId="1" applyNumberFormat="1" applyFont="1" applyBorder="1"/>
    <xf numFmtId="0" fontId="2" fillId="0" borderId="12" xfId="0" applyFont="1" applyBorder="1" applyAlignment="1">
      <alignment horizontal="right"/>
    </xf>
    <xf numFmtId="165" fontId="2" fillId="0" borderId="55" xfId="1" applyNumberFormat="1" applyFont="1" applyBorder="1" applyAlignment="1">
      <alignment horizontal="center"/>
    </xf>
    <xf numFmtId="0" fontId="2" fillId="0" borderId="26" xfId="0" applyFont="1" applyBorder="1" applyAlignment="1">
      <alignment horizontal="left"/>
    </xf>
    <xf numFmtId="0" fontId="4" fillId="0" borderId="14" xfId="0" applyFont="1" applyFill="1" applyBorder="1" applyAlignment="1">
      <alignment horizontal="right"/>
    </xf>
    <xf numFmtId="165" fontId="4" fillId="0" borderId="54" xfId="1" applyNumberFormat="1" applyFont="1" applyFill="1" applyBorder="1" applyAlignment="1">
      <alignment horizontal="center"/>
    </xf>
    <xf numFmtId="0" fontId="4" fillId="0" borderId="15" xfId="0" applyFont="1" applyFill="1" applyBorder="1" applyAlignment="1">
      <alignment horizontal="left"/>
    </xf>
    <xf numFmtId="0" fontId="2" fillId="0" borderId="0" xfId="0" applyFont="1" applyFill="1" applyBorder="1" applyAlignment="1">
      <alignment vertical="center" wrapText="1"/>
    </xf>
    <xf numFmtId="164" fontId="2" fillId="0" borderId="53" xfId="1" applyNumberFormat="1" applyFont="1" applyFill="1" applyBorder="1"/>
    <xf numFmtId="164" fontId="2" fillId="0" borderId="53" xfId="1" applyNumberFormat="1" applyFont="1" applyBorder="1"/>
    <xf numFmtId="0" fontId="2" fillId="0" borderId="0" xfId="0" applyFont="1" applyBorder="1" applyAlignment="1">
      <alignment horizontal="center"/>
    </xf>
    <xf numFmtId="164" fontId="2" fillId="0" borderId="0" xfId="1" applyNumberFormat="1" applyFont="1" applyBorder="1"/>
    <xf numFmtId="0" fontId="3" fillId="0" borderId="33" xfId="0" applyFont="1" applyFill="1" applyBorder="1" applyAlignment="1">
      <alignment horizontal="center" vertical="center" wrapText="1"/>
    </xf>
    <xf numFmtId="0" fontId="3" fillId="3" borderId="35" xfId="0" applyFont="1" applyFill="1" applyBorder="1" applyAlignment="1">
      <alignment horizontal="center" vertical="center" wrapText="1"/>
    </xf>
    <xf numFmtId="164" fontId="2" fillId="0" borderId="38" xfId="1" applyNumberFormat="1" applyFont="1" applyFill="1" applyBorder="1"/>
    <xf numFmtId="164" fontId="2" fillId="3" borderId="2" xfId="1" applyNumberFormat="1" applyFont="1" applyFill="1" applyBorder="1"/>
    <xf numFmtId="164" fontId="2" fillId="0" borderId="25" xfId="1" applyNumberFormat="1" applyFont="1" applyFill="1" applyBorder="1"/>
    <xf numFmtId="164" fontId="2" fillId="3" borderId="3" xfId="1" applyNumberFormat="1" applyFont="1" applyFill="1" applyBorder="1"/>
    <xf numFmtId="0" fontId="3" fillId="0" borderId="21" xfId="0" applyFont="1" applyBorder="1" applyAlignment="1">
      <alignment horizontal="center"/>
    </xf>
    <xf numFmtId="0" fontId="2" fillId="0" borderId="18" xfId="0" applyFont="1" applyBorder="1"/>
    <xf numFmtId="164" fontId="2" fillId="0" borderId="25" xfId="1" applyNumberFormat="1" applyFont="1" applyBorder="1"/>
    <xf numFmtId="0" fontId="2" fillId="0" borderId="18" xfId="0" applyFont="1" applyBorder="1" applyAlignment="1">
      <alignment horizontal="center"/>
    </xf>
    <xf numFmtId="164" fontId="2" fillId="0" borderId="18" xfId="1" applyNumberFormat="1" applyFont="1" applyBorder="1"/>
    <xf numFmtId="164" fontId="2" fillId="0" borderId="23" xfId="1" applyNumberFormat="1" applyFont="1" applyBorder="1"/>
    <xf numFmtId="164" fontId="2" fillId="3" borderId="4" xfId="1" applyNumberFormat="1" applyFont="1" applyFill="1" applyBorder="1"/>
    <xf numFmtId="164" fontId="4" fillId="0" borderId="35" xfId="0" applyNumberFormat="1" applyFont="1" applyFill="1" applyBorder="1"/>
    <xf numFmtId="164" fontId="4" fillId="0" borderId="35" xfId="0" applyNumberFormat="1" applyFont="1" applyBorder="1" applyAlignment="1">
      <alignment horizontal="center"/>
    </xf>
    <xf numFmtId="0" fontId="2" fillId="0" borderId="0" xfId="0" applyFont="1" applyAlignment="1">
      <alignment horizontal="center"/>
    </xf>
    <xf numFmtId="0" fontId="2" fillId="0" borderId="54" xfId="0" applyFont="1" applyBorder="1" applyAlignment="1">
      <alignment horizontal="center"/>
    </xf>
    <xf numFmtId="2" fontId="2" fillId="0" borderId="15" xfId="0" applyNumberFormat="1" applyFont="1" applyBorder="1" applyAlignment="1">
      <alignment horizontal="center"/>
    </xf>
    <xf numFmtId="0" fontId="2" fillId="0" borderId="8" xfId="0" applyFont="1" applyBorder="1" applyAlignment="1">
      <alignment horizontal="center" wrapText="1"/>
    </xf>
    <xf numFmtId="166" fontId="2" fillId="0" borderId="53" xfId="0" applyNumberFormat="1" applyFont="1" applyBorder="1" applyAlignment="1">
      <alignment horizontal="center" vertical="center" wrapText="1"/>
    </xf>
    <xf numFmtId="164" fontId="2" fillId="0" borderId="53" xfId="1" applyNumberFormat="1" applyFont="1" applyBorder="1" applyAlignment="1">
      <alignment horizontal="center" vertical="center" wrapText="1"/>
    </xf>
    <xf numFmtId="166" fontId="2" fillId="0" borderId="9" xfId="0" applyNumberFormat="1" applyFont="1" applyBorder="1" applyAlignment="1">
      <alignment horizontal="center" vertical="center" wrapText="1"/>
    </xf>
    <xf numFmtId="2" fontId="2" fillId="0" borderId="36" xfId="0" applyNumberFormat="1" applyFont="1" applyBorder="1" applyAlignment="1">
      <alignment horizontal="center"/>
    </xf>
    <xf numFmtId="166" fontId="2" fillId="0" borderId="9" xfId="0" applyNumberFormat="1" applyFont="1" applyBorder="1" applyAlignment="1">
      <alignment horizontal="center"/>
    </xf>
    <xf numFmtId="0" fontId="6" fillId="0" borderId="0" xfId="0" applyFont="1" applyBorder="1" applyAlignment="1">
      <alignment horizontal="center" vertical="center" wrapText="1"/>
    </xf>
    <xf numFmtId="0" fontId="2" fillId="0" borderId="0" xfId="0" applyNumberFormat="1" applyFont="1" applyBorder="1" applyAlignment="1">
      <alignment horizontal="left" vertical="center"/>
    </xf>
    <xf numFmtId="1" fontId="2" fillId="0" borderId="0" xfId="0" applyNumberFormat="1" applyFont="1" applyBorder="1" applyAlignment="1">
      <alignment wrapText="1"/>
    </xf>
    <xf numFmtId="0" fontId="2" fillId="0" borderId="0" xfId="0" applyNumberFormat="1" applyFont="1" applyBorder="1" applyAlignment="1">
      <alignment vertical="center"/>
    </xf>
    <xf numFmtId="0" fontId="3" fillId="0" borderId="63" xfId="0" applyFont="1" applyBorder="1" applyAlignment="1">
      <alignment horizontal="center"/>
    </xf>
    <xf numFmtId="0" fontId="3" fillId="0" borderId="64" xfId="0" applyFont="1" applyBorder="1" applyAlignment="1">
      <alignment horizontal="center"/>
    </xf>
    <xf numFmtId="0" fontId="2" fillId="0" borderId="39" xfId="0" applyFont="1" applyBorder="1"/>
    <xf numFmtId="164" fontId="2" fillId="0" borderId="42" xfId="1" applyNumberFormat="1" applyFont="1" applyBorder="1"/>
    <xf numFmtId="0" fontId="2" fillId="0" borderId="67" xfId="0" applyFont="1" applyBorder="1"/>
    <xf numFmtId="164" fontId="2" fillId="0" borderId="68" xfId="1" applyNumberFormat="1" applyFont="1" applyBorder="1"/>
    <xf numFmtId="0" fontId="2" fillId="0" borderId="42" xfId="0" applyFont="1" applyBorder="1"/>
    <xf numFmtId="164" fontId="2" fillId="0" borderId="47" xfId="0" applyNumberFormat="1" applyFont="1" applyFill="1" applyBorder="1"/>
    <xf numFmtId="164" fontId="2" fillId="0" borderId="64" xfId="1" applyNumberFormat="1" applyFont="1" applyBorder="1"/>
    <xf numFmtId="164" fontId="2" fillId="0" borderId="57" xfId="1" applyNumberFormat="1" applyFont="1" applyBorder="1"/>
    <xf numFmtId="164" fontId="4" fillId="0" borderId="13" xfId="0" applyNumberFormat="1" applyFont="1" applyFill="1" applyBorder="1"/>
    <xf numFmtId="0" fontId="2" fillId="0" borderId="0" xfId="0" applyFont="1" applyBorder="1" applyAlignment="1">
      <alignment vertical="top" wrapText="1"/>
    </xf>
    <xf numFmtId="0" fontId="3" fillId="0" borderId="0" xfId="0" applyFont="1"/>
    <xf numFmtId="44" fontId="2" fillId="0" borderId="0" xfId="0" applyNumberFormat="1" applyFont="1" applyAlignment="1">
      <alignment horizontal="center"/>
    </xf>
    <xf numFmtId="0" fontId="2" fillId="0" borderId="0" xfId="0" applyFont="1" applyAlignment="1">
      <alignment horizontal="right" vertical="center"/>
    </xf>
    <xf numFmtId="0" fontId="2" fillId="0" borderId="42" xfId="0" applyFont="1" applyBorder="1" applyAlignment="1">
      <alignment horizontal="right" vertical="center"/>
    </xf>
    <xf numFmtId="9" fontId="2" fillId="0" borderId="32" xfId="2" applyFont="1" applyBorder="1" applyAlignment="1">
      <alignment horizontal="center" vertical="center"/>
    </xf>
    <xf numFmtId="9" fontId="2" fillId="0" borderId="13" xfId="2" applyFont="1" applyBorder="1" applyAlignment="1">
      <alignment horizontal="center" vertical="center"/>
    </xf>
    <xf numFmtId="0" fontId="3" fillId="0" borderId="58" xfId="0" applyFont="1" applyBorder="1" applyAlignment="1">
      <alignment horizontal="center" vertical="center"/>
    </xf>
    <xf numFmtId="0" fontId="3" fillId="0" borderId="60" xfId="0" applyFont="1" applyBorder="1" applyAlignment="1">
      <alignment horizontal="center" vertical="center"/>
    </xf>
    <xf numFmtId="0" fontId="3" fillId="0" borderId="50" xfId="0" applyFont="1" applyBorder="1" applyAlignment="1">
      <alignment horizontal="center" vertical="center"/>
    </xf>
    <xf numFmtId="0" fontId="4" fillId="0" borderId="34" xfId="0" applyFont="1" applyBorder="1" applyAlignment="1">
      <alignment horizontal="center" vertical="center"/>
    </xf>
    <xf numFmtId="0" fontId="3" fillId="0" borderId="16" xfId="0" applyFont="1" applyBorder="1" applyAlignment="1">
      <alignment horizontal="center" vertical="center"/>
    </xf>
    <xf numFmtId="0" fontId="3" fillId="0" borderId="61" xfId="0" applyFont="1" applyBorder="1" applyAlignment="1">
      <alignment horizontal="center" vertical="center"/>
    </xf>
    <xf numFmtId="0" fontId="3" fillId="0" borderId="2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1" fontId="2" fillId="0" borderId="32" xfId="0" applyNumberFormat="1" applyFont="1" applyBorder="1" applyAlignment="1">
      <alignment horizontal="center" vertical="center"/>
    </xf>
    <xf numFmtId="1" fontId="2" fillId="0" borderId="13" xfId="0" applyNumberFormat="1" applyFont="1" applyBorder="1" applyAlignment="1">
      <alignment horizontal="center" vertical="center"/>
    </xf>
    <xf numFmtId="0" fontId="2" fillId="0" borderId="0" xfId="0" applyFont="1" applyFill="1" applyBorder="1" applyAlignment="1">
      <alignment horizontal="right" vertical="center"/>
    </xf>
    <xf numFmtId="0" fontId="2" fillId="0" borderId="42" xfId="0" applyFont="1" applyFill="1" applyBorder="1" applyAlignment="1">
      <alignment horizontal="right" vertical="center"/>
    </xf>
    <xf numFmtId="0" fontId="4" fillId="0" borderId="34" xfId="0" applyFont="1" applyBorder="1" applyAlignment="1">
      <alignment horizontal="center"/>
    </xf>
    <xf numFmtId="0" fontId="4" fillId="0" borderId="0" xfId="0" applyFont="1" applyAlignment="1">
      <alignment horizontal="center" vertical="center"/>
    </xf>
    <xf numFmtId="0" fontId="2" fillId="0" borderId="0" xfId="0" applyFont="1" applyBorder="1" applyAlignment="1">
      <alignment horizontal="left" vertical="center" wrapText="1"/>
    </xf>
    <xf numFmtId="1" fontId="2" fillId="0" borderId="44" xfId="0" applyNumberFormat="1" applyFont="1" applyBorder="1" applyAlignment="1">
      <alignment horizontal="left" wrapText="1"/>
    </xf>
    <xf numFmtId="1" fontId="2" fillId="0" borderId="0" xfId="0" applyNumberFormat="1" applyFont="1" applyBorder="1" applyAlignment="1">
      <alignment horizontal="left" wrapText="1"/>
    </xf>
    <xf numFmtId="0" fontId="2" fillId="0" borderId="52" xfId="0" applyFont="1" applyBorder="1" applyAlignment="1">
      <alignment horizontal="left"/>
    </xf>
    <xf numFmtId="0" fontId="2" fillId="0" borderId="37" xfId="0" applyFont="1" applyBorder="1" applyAlignment="1">
      <alignment horizontal="left"/>
    </xf>
    <xf numFmtId="0" fontId="2" fillId="0" borderId="1" xfId="0" applyFont="1" applyBorder="1" applyAlignment="1">
      <alignment horizontal="left"/>
    </xf>
    <xf numFmtId="0" fontId="2" fillId="0" borderId="7" xfId="0" applyFont="1" applyBorder="1" applyAlignment="1">
      <alignment horizontal="left"/>
    </xf>
    <xf numFmtId="0" fontId="2" fillId="0" borderId="53" xfId="0" applyFont="1" applyBorder="1" applyAlignment="1">
      <alignment horizontal="left" vertical="center"/>
    </xf>
    <xf numFmtId="0" fontId="2" fillId="0" borderId="9" xfId="0" applyFont="1" applyBorder="1" applyAlignment="1">
      <alignment horizontal="left" vertical="center"/>
    </xf>
    <xf numFmtId="0" fontId="2" fillId="0" borderId="36" xfId="0" applyFont="1" applyBorder="1" applyAlignment="1">
      <alignment horizontal="right"/>
    </xf>
    <xf numFmtId="0" fontId="2" fillId="0" borderId="52" xfId="0" applyFont="1" applyBorder="1" applyAlignment="1">
      <alignment horizontal="right"/>
    </xf>
    <xf numFmtId="0" fontId="2" fillId="0" borderId="6" xfId="0" applyFont="1" applyBorder="1" applyAlignment="1">
      <alignment horizontal="right"/>
    </xf>
    <xf numFmtId="0" fontId="2" fillId="0" borderId="1" xfId="0" applyFont="1" applyBorder="1" applyAlignment="1">
      <alignment horizontal="right"/>
    </xf>
    <xf numFmtId="0" fontId="2" fillId="0" borderId="8" xfId="0" applyFont="1" applyBorder="1" applyAlignment="1">
      <alignment horizontal="right"/>
    </xf>
    <xf numFmtId="0" fontId="2" fillId="0" borderId="53" xfId="0" applyFont="1" applyBorder="1" applyAlignment="1">
      <alignment horizontal="right"/>
    </xf>
    <xf numFmtId="0" fontId="4" fillId="0" borderId="0" xfId="0" applyFont="1" applyBorder="1" applyAlignment="1">
      <alignment horizontal="center" vertical="center"/>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39"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20" xfId="0" applyFont="1" applyBorder="1" applyAlignment="1">
      <alignment horizontal="center" vertical="center"/>
    </xf>
    <xf numFmtId="0" fontId="2" fillId="0" borderId="44" xfId="0" applyFont="1" applyBorder="1" applyAlignment="1">
      <alignment horizontal="left" wrapText="1"/>
    </xf>
    <xf numFmtId="0" fontId="2" fillId="0" borderId="0" xfId="0" applyFont="1" applyBorder="1" applyAlignment="1">
      <alignment horizontal="left" wrapText="1"/>
    </xf>
    <xf numFmtId="0" fontId="6" fillId="0" borderId="44" xfId="0" applyFont="1" applyBorder="1" applyAlignment="1">
      <alignment horizontal="left" vertical="center" wrapText="1"/>
    </xf>
    <xf numFmtId="0" fontId="6" fillId="0" borderId="0" xfId="0" applyFont="1" applyBorder="1" applyAlignment="1">
      <alignment horizontal="left" vertical="center" wrapText="1"/>
    </xf>
    <xf numFmtId="0" fontId="2" fillId="0" borderId="0" xfId="0" applyFont="1" applyAlignment="1">
      <alignment horizontal="left" wrapText="1"/>
    </xf>
    <xf numFmtId="0" fontId="3" fillId="0" borderId="36" xfId="0" applyFont="1" applyBorder="1" applyAlignment="1">
      <alignment horizontal="center" vertical="center"/>
    </xf>
    <xf numFmtId="0" fontId="3" fillId="0" borderId="8" xfId="0" applyFont="1" applyBorder="1" applyAlignment="1">
      <alignment horizontal="center" vertical="center"/>
    </xf>
    <xf numFmtId="0" fontId="3" fillId="0" borderId="52" xfId="0" applyFont="1" applyBorder="1" applyAlignment="1">
      <alignment horizontal="center"/>
    </xf>
    <xf numFmtId="0" fontId="3" fillId="0" borderId="37" xfId="0" applyFont="1" applyBorder="1" applyAlignment="1">
      <alignment horizontal="center"/>
    </xf>
    <xf numFmtId="0" fontId="4" fillId="0" borderId="0" xfId="0" applyFont="1" applyAlignment="1">
      <alignment horizont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2" fillId="0" borderId="44" xfId="0" applyFont="1" applyBorder="1" applyAlignment="1">
      <alignment horizontal="left"/>
    </xf>
    <xf numFmtId="0" fontId="2" fillId="0" borderId="0" xfId="0" applyFont="1" applyAlignment="1">
      <alignment horizontal="left" vertical="top" wrapText="1"/>
    </xf>
    <xf numFmtId="0" fontId="3" fillId="4" borderId="58" xfId="0" applyFont="1" applyFill="1" applyBorder="1" applyAlignment="1">
      <alignment horizontal="center" vertical="center" wrapText="1"/>
    </xf>
    <xf numFmtId="0" fontId="3" fillId="4" borderId="50" xfId="0" applyFont="1" applyFill="1" applyBorder="1" applyAlignment="1">
      <alignment horizontal="center" vertical="center" wrapText="1"/>
    </xf>
    <xf numFmtId="0" fontId="2" fillId="0" borderId="32" xfId="0" applyFont="1" applyBorder="1" applyAlignment="1">
      <alignment horizontal="center"/>
    </xf>
    <xf numFmtId="0" fontId="2" fillId="0" borderId="45" xfId="0" applyFont="1" applyBorder="1" applyAlignment="1">
      <alignment horizontal="center"/>
    </xf>
    <xf numFmtId="0" fontId="3" fillId="0" borderId="53" xfId="0" applyFont="1" applyBorder="1" applyAlignment="1">
      <alignment horizontal="left"/>
    </xf>
    <xf numFmtId="0" fontId="3" fillId="0" borderId="9" xfId="0" applyFont="1" applyBorder="1" applyAlignment="1">
      <alignment horizontal="left"/>
    </xf>
    <xf numFmtId="0" fontId="2" fillId="0" borderId="54" xfId="0" applyFont="1" applyBorder="1" applyAlignment="1">
      <alignment horizontal="center"/>
    </xf>
    <xf numFmtId="0" fontId="2" fillId="0" borderId="15" xfId="0" applyFont="1" applyBorder="1" applyAlignment="1">
      <alignment horizontal="center"/>
    </xf>
    <xf numFmtId="0" fontId="2" fillId="0" borderId="8" xfId="0" applyFont="1" applyBorder="1" applyAlignment="1">
      <alignment horizontal="center"/>
    </xf>
    <xf numFmtId="0" fontId="2" fillId="0" borderId="53" xfId="0" applyFont="1" applyBorder="1" applyAlignment="1">
      <alignment horizontal="center"/>
    </xf>
    <xf numFmtId="0" fontId="2" fillId="0" borderId="36" xfId="0" applyFont="1" applyBorder="1" applyAlignment="1">
      <alignment horizontal="center"/>
    </xf>
    <xf numFmtId="0" fontId="2" fillId="0" borderId="52" xfId="0" applyFont="1" applyBorder="1" applyAlignment="1">
      <alignment horizontal="center"/>
    </xf>
    <xf numFmtId="0" fontId="2" fillId="0" borderId="14" xfId="0" applyFont="1" applyBorder="1" applyAlignment="1">
      <alignment horizontal="center"/>
    </xf>
    <xf numFmtId="164" fontId="4" fillId="0" borderId="44" xfId="1" applyNumberFormat="1" applyFont="1" applyBorder="1" applyAlignment="1">
      <alignment horizontal="right" vertical="center" wrapText="1"/>
    </xf>
    <xf numFmtId="164" fontId="4" fillId="0" borderId="0" xfId="1" applyNumberFormat="1" applyFont="1" applyBorder="1" applyAlignment="1">
      <alignment horizontal="right" vertical="center" wrapText="1"/>
    </xf>
    <xf numFmtId="164" fontId="4" fillId="0" borderId="58" xfId="1" applyNumberFormat="1" applyFont="1" applyFill="1" applyBorder="1" applyAlignment="1">
      <alignment horizontal="center" vertical="center"/>
    </xf>
    <xf numFmtId="164" fontId="4" fillId="0" borderId="50" xfId="1" applyNumberFormat="1" applyFont="1" applyFill="1" applyBorder="1" applyAlignment="1">
      <alignment horizontal="center" vertical="center"/>
    </xf>
    <xf numFmtId="0" fontId="2" fillId="0" borderId="29"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5" xfId="0" applyFont="1" applyFill="1" applyBorder="1" applyAlignment="1">
      <alignment horizontal="left" vertical="center" wrapText="1"/>
    </xf>
    <xf numFmtId="0" fontId="4" fillId="0" borderId="0" xfId="0" applyFont="1" applyBorder="1" applyAlignment="1">
      <alignment horizontal="center"/>
    </xf>
    <xf numFmtId="0" fontId="4" fillId="0" borderId="0" xfId="0" applyFont="1" applyFill="1" applyBorder="1" applyAlignment="1">
      <alignment horizontal="center" vertical="center" wrapText="1"/>
    </xf>
    <xf numFmtId="0" fontId="2" fillId="0" borderId="56" xfId="0" applyFont="1" applyBorder="1" applyAlignment="1">
      <alignment horizontal="right"/>
    </xf>
    <xf numFmtId="0" fontId="2" fillId="0" borderId="19" xfId="0" applyFont="1" applyBorder="1" applyAlignment="1">
      <alignment horizontal="right"/>
    </xf>
    <xf numFmtId="0" fontId="2" fillId="0" borderId="17" xfId="0" applyFont="1" applyFill="1" applyBorder="1" applyAlignment="1">
      <alignment horizontal="right"/>
    </xf>
    <xf numFmtId="0" fontId="2" fillId="0" borderId="65" xfId="0" applyFont="1" applyFill="1" applyBorder="1" applyAlignment="1">
      <alignment horizontal="right"/>
    </xf>
    <xf numFmtId="0" fontId="4" fillId="0" borderId="32" xfId="0" applyFont="1" applyFill="1" applyBorder="1" applyAlignment="1">
      <alignment horizontal="right"/>
    </xf>
    <xf numFmtId="0" fontId="4" fillId="0" borderId="45" xfId="0" applyFont="1" applyFill="1" applyBorder="1" applyAlignment="1">
      <alignment horizontal="right"/>
    </xf>
    <xf numFmtId="0" fontId="4" fillId="0" borderId="16" xfId="0" applyFont="1" applyFill="1" applyBorder="1" applyAlignment="1">
      <alignment horizontal="center"/>
    </xf>
    <xf numFmtId="0" fontId="4" fillId="0" borderId="61" xfId="0" applyFont="1" applyFill="1" applyBorder="1" applyAlignment="1">
      <alignment horizontal="center"/>
    </xf>
    <xf numFmtId="0" fontId="4" fillId="0" borderId="22" xfId="0" applyFont="1" applyFill="1" applyBorder="1" applyAlignment="1">
      <alignment horizontal="center"/>
    </xf>
    <xf numFmtId="0" fontId="4" fillId="0" borderId="0" xfId="0" applyFont="1" applyBorder="1" applyAlignment="1">
      <alignment horizontal="right"/>
    </xf>
    <xf numFmtId="0" fontId="2" fillId="0" borderId="63" xfId="0" applyFont="1" applyBorder="1" applyAlignment="1">
      <alignment horizontal="right"/>
    </xf>
    <xf numFmtId="0" fontId="2" fillId="0" borderId="21" xfId="0" applyFont="1" applyBorder="1" applyAlignment="1">
      <alignment horizontal="right"/>
    </xf>
    <xf numFmtId="0" fontId="2" fillId="0" borderId="39" xfId="0" applyFont="1" applyBorder="1" applyAlignment="1">
      <alignment horizontal="right"/>
    </xf>
    <xf numFmtId="0" fontId="2" fillId="0" borderId="0" xfId="0" applyFont="1" applyBorder="1" applyAlignment="1">
      <alignment horizontal="right"/>
    </xf>
    <xf numFmtId="0" fontId="2" fillId="0" borderId="67" xfId="0" applyFont="1" applyBorder="1" applyAlignment="1">
      <alignment horizontal="right"/>
    </xf>
    <xf numFmtId="0" fontId="2" fillId="0" borderId="18" xfId="0" applyFont="1" applyBorder="1" applyAlignment="1">
      <alignment horizontal="right"/>
    </xf>
    <xf numFmtId="0" fontId="3" fillId="5" borderId="16" xfId="0" applyFont="1" applyFill="1" applyBorder="1" applyAlignment="1">
      <alignment horizontal="center" vertical="center" wrapText="1"/>
    </xf>
    <xf numFmtId="0" fontId="3" fillId="5" borderId="63" xfId="0" applyFont="1" applyFill="1" applyBorder="1" applyAlignment="1">
      <alignment horizontal="center" vertical="center" wrapText="1"/>
    </xf>
    <xf numFmtId="0" fontId="3" fillId="3" borderId="22" xfId="0" applyFont="1" applyFill="1" applyBorder="1" applyAlignment="1">
      <alignment horizontal="center" vertical="center"/>
    </xf>
    <xf numFmtId="0" fontId="3" fillId="3" borderId="66" xfId="0" applyFont="1" applyFill="1" applyBorder="1" applyAlignment="1">
      <alignment horizontal="center" vertical="center"/>
    </xf>
    <xf numFmtId="0" fontId="3" fillId="5" borderId="17" xfId="0" applyFont="1" applyFill="1" applyBorder="1" applyAlignment="1">
      <alignment horizontal="center" vertical="center" wrapText="1"/>
    </xf>
    <xf numFmtId="0" fontId="3" fillId="4" borderId="52" xfId="0" applyFont="1" applyFill="1" applyBorder="1" applyAlignment="1">
      <alignment horizontal="center"/>
    </xf>
    <xf numFmtId="0" fontId="3" fillId="3" borderId="59" xfId="0" applyFont="1" applyFill="1" applyBorder="1" applyAlignment="1">
      <alignment horizontal="center" vertical="center"/>
    </xf>
    <xf numFmtId="0" fontId="3" fillId="3" borderId="46" xfId="0" applyFont="1" applyFill="1" applyBorder="1" applyAlignment="1">
      <alignment horizontal="center" vertical="center"/>
    </xf>
    <xf numFmtId="0" fontId="3" fillId="5" borderId="36" xfId="0" applyFont="1" applyFill="1" applyBorder="1" applyAlignment="1">
      <alignment horizontal="center" vertical="center" wrapText="1"/>
    </xf>
    <xf numFmtId="0" fontId="3" fillId="5" borderId="8" xfId="0" applyFont="1" applyFill="1" applyBorder="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2A338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B2:AA74"/>
  <sheetViews>
    <sheetView workbookViewId="0">
      <selection activeCell="N34" sqref="N34"/>
    </sheetView>
  </sheetViews>
  <sheetFormatPr defaultRowHeight="16.5" x14ac:dyDescent="0.3"/>
  <cols>
    <col min="1" max="1" width="3.7109375" style="1" customWidth="1"/>
    <col min="2" max="7" width="12.7109375" style="1" customWidth="1"/>
    <col min="8" max="12" width="12.7109375" style="82" customWidth="1"/>
    <col min="13" max="26" width="12.7109375" style="1" customWidth="1"/>
    <col min="27" max="16384" width="9.140625" style="1"/>
  </cols>
  <sheetData>
    <row r="2" spans="2:27" ht="17.25" thickBot="1" x14ac:dyDescent="0.35">
      <c r="B2" s="246" t="s">
        <v>119</v>
      </c>
      <c r="C2" s="246"/>
      <c r="D2" s="246"/>
      <c r="E2" s="246"/>
      <c r="F2" s="246"/>
      <c r="G2" s="82"/>
      <c r="H2" s="246" t="s">
        <v>120</v>
      </c>
      <c r="I2" s="246"/>
      <c r="J2" s="246"/>
      <c r="K2" s="246"/>
      <c r="L2" s="246"/>
      <c r="N2" s="245" t="s">
        <v>121</v>
      </c>
      <c r="O2" s="245"/>
      <c r="P2" s="245"/>
      <c r="Q2" s="245"/>
    </row>
    <row r="3" spans="2:27" s="80" customFormat="1" ht="50.25" thickBot="1" x14ac:dyDescent="0.35">
      <c r="B3" s="81" t="s">
        <v>53</v>
      </c>
      <c r="C3" s="83" t="s">
        <v>65</v>
      </c>
      <c r="D3" s="83" t="s">
        <v>32</v>
      </c>
      <c r="E3" s="83" t="s">
        <v>81</v>
      </c>
      <c r="F3" s="84" t="s">
        <v>82</v>
      </c>
      <c r="G3" s="79"/>
      <c r="H3" s="81" t="s">
        <v>53</v>
      </c>
      <c r="I3" s="83" t="s">
        <v>65</v>
      </c>
      <c r="J3" s="83" t="s">
        <v>32</v>
      </c>
      <c r="K3" s="83" t="s">
        <v>81</v>
      </c>
      <c r="L3" s="84" t="s">
        <v>82</v>
      </c>
      <c r="N3" s="81" t="s">
        <v>81</v>
      </c>
      <c r="O3" s="83" t="s">
        <v>82</v>
      </c>
      <c r="P3" s="85" t="s">
        <v>100</v>
      </c>
      <c r="Q3" s="86" t="s">
        <v>101</v>
      </c>
      <c r="T3" s="87"/>
    </row>
    <row r="4" spans="2:27" ht="18" x14ac:dyDescent="0.3">
      <c r="B4" s="88">
        <v>2017</v>
      </c>
      <c r="C4" s="89">
        <v>2600</v>
      </c>
      <c r="D4" s="90">
        <v>0.4</v>
      </c>
      <c r="E4" s="89">
        <f t="shared" ref="E4:E27" si="0">C4*(1-D4)*$G$34</f>
        <v>3104.4</v>
      </c>
      <c r="F4" s="91">
        <f t="shared" ref="F4:F27" si="1">C4*D4*$G$34</f>
        <v>2069.6</v>
      </c>
      <c r="G4" s="82"/>
      <c r="H4" s="88">
        <v>2017</v>
      </c>
      <c r="I4" s="92">
        <v>1500</v>
      </c>
      <c r="J4" s="90">
        <v>0.4</v>
      </c>
      <c r="K4" s="89">
        <f t="shared" ref="K4:K27" si="2">I4*(1-J4)*$G$35</f>
        <v>1224</v>
      </c>
      <c r="L4" s="91">
        <f t="shared" ref="L4:L27" si="3">I4*J4*$G$35</f>
        <v>816.00000000000011</v>
      </c>
      <c r="N4" s="93">
        <f>E4+K4</f>
        <v>4328.3999999999996</v>
      </c>
      <c r="O4" s="94">
        <f>F4+L4</f>
        <v>2885.6</v>
      </c>
      <c r="P4" s="95">
        <f>SUM(N4:O4)</f>
        <v>7214</v>
      </c>
      <c r="Q4" s="96">
        <f>P4*365</f>
        <v>2633110</v>
      </c>
      <c r="AA4" s="97"/>
    </row>
    <row r="5" spans="2:27" x14ac:dyDescent="0.3">
      <c r="B5" s="98">
        <v>2018</v>
      </c>
      <c r="C5" s="99">
        <f t="shared" ref="C5:C16" si="4">C4*$G$36</f>
        <v>2638.9999999999995</v>
      </c>
      <c r="D5" s="100">
        <v>0.4</v>
      </c>
      <c r="E5" s="99">
        <f t="shared" si="0"/>
        <v>3150.9659999999994</v>
      </c>
      <c r="F5" s="101">
        <f t="shared" si="1"/>
        <v>2100.6439999999998</v>
      </c>
      <c r="G5" s="82"/>
      <c r="H5" s="98">
        <v>2018</v>
      </c>
      <c r="I5" s="99">
        <f t="shared" ref="I5:I16" si="5">I4*$G$36</f>
        <v>1522.4999999999998</v>
      </c>
      <c r="J5" s="100">
        <v>0.4</v>
      </c>
      <c r="K5" s="99">
        <f t="shared" si="2"/>
        <v>1242.3599999999999</v>
      </c>
      <c r="L5" s="101">
        <f t="shared" si="3"/>
        <v>828.2399999999999</v>
      </c>
      <c r="N5" s="26">
        <f t="shared" ref="N5:N27" si="6">E5+K5</f>
        <v>4393.3259999999991</v>
      </c>
      <c r="O5" s="102">
        <f t="shared" ref="O5:O27" si="7">F5+L5</f>
        <v>2928.8839999999996</v>
      </c>
      <c r="P5" s="103">
        <f t="shared" ref="P5:P27" si="8">SUM(N5:O5)</f>
        <v>7322.2099999999991</v>
      </c>
      <c r="Q5" s="104">
        <f t="shared" ref="Q5:Q27" si="9">P5*365</f>
        <v>2672606.65</v>
      </c>
    </row>
    <row r="6" spans="2:27" x14ac:dyDescent="0.3">
      <c r="B6" s="98">
        <v>2019</v>
      </c>
      <c r="C6" s="99">
        <f t="shared" si="4"/>
        <v>2678.5849999999991</v>
      </c>
      <c r="D6" s="100">
        <v>0.4</v>
      </c>
      <c r="E6" s="99">
        <f t="shared" si="0"/>
        <v>3198.2304899999986</v>
      </c>
      <c r="F6" s="101">
        <f t="shared" si="1"/>
        <v>2132.1536599999995</v>
      </c>
      <c r="G6" s="82"/>
      <c r="H6" s="98">
        <v>2019</v>
      </c>
      <c r="I6" s="99">
        <f t="shared" si="5"/>
        <v>1545.3374999999996</v>
      </c>
      <c r="J6" s="100">
        <v>0.4</v>
      </c>
      <c r="K6" s="99">
        <f t="shared" si="2"/>
        <v>1260.9953999999998</v>
      </c>
      <c r="L6" s="101">
        <f t="shared" si="3"/>
        <v>840.66359999999986</v>
      </c>
      <c r="N6" s="26">
        <f t="shared" si="6"/>
        <v>4459.2258899999979</v>
      </c>
      <c r="O6" s="102">
        <f t="shared" si="7"/>
        <v>2972.8172599999994</v>
      </c>
      <c r="P6" s="103">
        <f t="shared" si="8"/>
        <v>7432.0431499999977</v>
      </c>
      <c r="Q6" s="104">
        <f t="shared" si="9"/>
        <v>2712695.749749999</v>
      </c>
    </row>
    <row r="7" spans="2:27" x14ac:dyDescent="0.3">
      <c r="B7" s="98">
        <v>2020</v>
      </c>
      <c r="C7" s="99">
        <f t="shared" si="4"/>
        <v>2718.763774999999</v>
      </c>
      <c r="D7" s="100">
        <v>0.4</v>
      </c>
      <c r="E7" s="99">
        <f t="shared" si="0"/>
        <v>3246.2039473499985</v>
      </c>
      <c r="F7" s="101">
        <f t="shared" si="1"/>
        <v>2164.1359648999996</v>
      </c>
      <c r="G7" s="82"/>
      <c r="H7" s="98">
        <v>2020</v>
      </c>
      <c r="I7" s="99">
        <f t="shared" si="5"/>
        <v>1568.5175624999995</v>
      </c>
      <c r="J7" s="100">
        <v>0.4</v>
      </c>
      <c r="K7" s="99">
        <f t="shared" si="2"/>
        <v>1279.9103309999996</v>
      </c>
      <c r="L7" s="101">
        <f t="shared" si="3"/>
        <v>853.27355399999988</v>
      </c>
      <c r="N7" s="26">
        <f t="shared" si="6"/>
        <v>4526.1142783499981</v>
      </c>
      <c r="O7" s="102">
        <f t="shared" si="7"/>
        <v>3017.4095188999995</v>
      </c>
      <c r="P7" s="103">
        <f t="shared" si="8"/>
        <v>7543.5237972499981</v>
      </c>
      <c r="Q7" s="104">
        <f t="shared" si="9"/>
        <v>2753386.1859962493</v>
      </c>
    </row>
    <row r="8" spans="2:27" x14ac:dyDescent="0.3">
      <c r="B8" s="98">
        <v>2021</v>
      </c>
      <c r="C8" s="99">
        <f t="shared" si="4"/>
        <v>2759.5452316249989</v>
      </c>
      <c r="D8" s="100">
        <v>0.4</v>
      </c>
      <c r="E8" s="99">
        <f t="shared" si="0"/>
        <v>3294.8970065602484</v>
      </c>
      <c r="F8" s="101">
        <f t="shared" si="1"/>
        <v>2196.5980043734994</v>
      </c>
      <c r="G8" s="82"/>
      <c r="H8" s="98">
        <v>2021</v>
      </c>
      <c r="I8" s="99">
        <f t="shared" si="5"/>
        <v>1592.0453259374992</v>
      </c>
      <c r="J8" s="100">
        <v>0.4</v>
      </c>
      <c r="K8" s="99">
        <f t="shared" si="2"/>
        <v>1299.1089859649994</v>
      </c>
      <c r="L8" s="101">
        <f t="shared" si="3"/>
        <v>866.07265730999973</v>
      </c>
      <c r="N8" s="26">
        <f t="shared" si="6"/>
        <v>4594.0059925252481</v>
      </c>
      <c r="O8" s="102">
        <f t="shared" si="7"/>
        <v>3062.670661683499</v>
      </c>
      <c r="P8" s="103">
        <f t="shared" si="8"/>
        <v>7656.6766542087471</v>
      </c>
      <c r="Q8" s="104">
        <f t="shared" si="9"/>
        <v>2794686.9787861928</v>
      </c>
    </row>
    <row r="9" spans="2:27" x14ac:dyDescent="0.3">
      <c r="B9" s="98">
        <v>2022</v>
      </c>
      <c r="C9" s="99">
        <f t="shared" si="4"/>
        <v>2800.9384100993734</v>
      </c>
      <c r="D9" s="100">
        <v>0.4</v>
      </c>
      <c r="E9" s="99">
        <f t="shared" si="0"/>
        <v>3344.3204616586518</v>
      </c>
      <c r="F9" s="101">
        <f t="shared" si="1"/>
        <v>2229.5469744391016</v>
      </c>
      <c r="G9" s="82"/>
      <c r="H9" s="98">
        <v>2022</v>
      </c>
      <c r="I9" s="99">
        <f t="shared" si="5"/>
        <v>1615.9260058265615</v>
      </c>
      <c r="J9" s="100">
        <v>0.4</v>
      </c>
      <c r="K9" s="99">
        <f t="shared" si="2"/>
        <v>1318.5956207544743</v>
      </c>
      <c r="L9" s="101">
        <f t="shared" si="3"/>
        <v>879.06374716964956</v>
      </c>
      <c r="N9" s="26">
        <f t="shared" si="6"/>
        <v>4662.9160824131259</v>
      </c>
      <c r="O9" s="102">
        <f t="shared" si="7"/>
        <v>3108.6107216087512</v>
      </c>
      <c r="P9" s="103">
        <f t="shared" si="8"/>
        <v>7771.5268040218771</v>
      </c>
      <c r="Q9" s="104">
        <f t="shared" si="9"/>
        <v>2836607.2834679852</v>
      </c>
    </row>
    <row r="10" spans="2:27" x14ac:dyDescent="0.3">
      <c r="B10" s="98">
        <v>2023</v>
      </c>
      <c r="C10" s="99">
        <f t="shared" si="4"/>
        <v>2842.9524862508638</v>
      </c>
      <c r="D10" s="100">
        <v>0.4</v>
      </c>
      <c r="E10" s="99">
        <f t="shared" si="0"/>
        <v>3394.4852685835313</v>
      </c>
      <c r="F10" s="101">
        <f t="shared" si="1"/>
        <v>2262.9901790556878</v>
      </c>
      <c r="G10" s="82"/>
      <c r="H10" s="98">
        <v>2023</v>
      </c>
      <c r="I10" s="99">
        <f t="shared" si="5"/>
        <v>1640.1648959139598</v>
      </c>
      <c r="J10" s="100">
        <v>0.4</v>
      </c>
      <c r="K10" s="99">
        <f t="shared" si="2"/>
        <v>1338.3745550657911</v>
      </c>
      <c r="L10" s="101">
        <f t="shared" si="3"/>
        <v>892.24970337719424</v>
      </c>
      <c r="N10" s="26">
        <f t="shared" si="6"/>
        <v>4732.8598236493226</v>
      </c>
      <c r="O10" s="102">
        <f t="shared" si="7"/>
        <v>3155.239882432882</v>
      </c>
      <c r="P10" s="103">
        <f t="shared" si="8"/>
        <v>7888.0997060822046</v>
      </c>
      <c r="Q10" s="104">
        <f t="shared" si="9"/>
        <v>2879156.3927200045</v>
      </c>
    </row>
    <row r="11" spans="2:27" x14ac:dyDescent="0.3">
      <c r="B11" s="98">
        <v>2024</v>
      </c>
      <c r="C11" s="99">
        <f t="shared" si="4"/>
        <v>2885.5967735446266</v>
      </c>
      <c r="D11" s="100">
        <v>0.4</v>
      </c>
      <c r="E11" s="99">
        <f t="shared" si="0"/>
        <v>3445.4025476122838</v>
      </c>
      <c r="F11" s="101">
        <f t="shared" si="1"/>
        <v>2296.9350317415228</v>
      </c>
      <c r="G11" s="82"/>
      <c r="H11" s="98">
        <v>2024</v>
      </c>
      <c r="I11" s="99">
        <f t="shared" si="5"/>
        <v>1664.767369352669</v>
      </c>
      <c r="J11" s="100">
        <v>0.4</v>
      </c>
      <c r="K11" s="99">
        <f t="shared" si="2"/>
        <v>1358.450173391778</v>
      </c>
      <c r="L11" s="101">
        <f t="shared" si="3"/>
        <v>905.63344892785199</v>
      </c>
      <c r="N11" s="26">
        <f t="shared" si="6"/>
        <v>4803.852721004062</v>
      </c>
      <c r="O11" s="102">
        <f t="shared" si="7"/>
        <v>3202.5684806693748</v>
      </c>
      <c r="P11" s="103">
        <f t="shared" si="8"/>
        <v>8006.4212016734364</v>
      </c>
      <c r="Q11" s="104">
        <f t="shared" si="9"/>
        <v>2922343.7386108041</v>
      </c>
    </row>
    <row r="12" spans="2:27" ht="18" x14ac:dyDescent="0.3">
      <c r="B12" s="98">
        <v>2025</v>
      </c>
      <c r="C12" s="99">
        <f>C11*$G$36+300</f>
        <v>3228.8807251477956</v>
      </c>
      <c r="D12" s="100">
        <v>0.4</v>
      </c>
      <c r="E12" s="99">
        <f t="shared" si="0"/>
        <v>3855.2835858264675</v>
      </c>
      <c r="F12" s="101">
        <f t="shared" si="1"/>
        <v>2570.1890572176458</v>
      </c>
      <c r="G12" s="82"/>
      <c r="H12" s="98">
        <v>2025</v>
      </c>
      <c r="I12" s="99">
        <f>I11*$G$36+150</f>
        <v>1839.7388798929589</v>
      </c>
      <c r="J12" s="100">
        <v>0.4</v>
      </c>
      <c r="K12" s="99">
        <f t="shared" si="2"/>
        <v>1501.2269259926545</v>
      </c>
      <c r="L12" s="101">
        <f t="shared" si="3"/>
        <v>1000.8179506617698</v>
      </c>
      <c r="N12" s="26">
        <f t="shared" si="6"/>
        <v>5356.5105118191223</v>
      </c>
      <c r="O12" s="102">
        <f t="shared" si="7"/>
        <v>3571.0070078794156</v>
      </c>
      <c r="P12" s="103">
        <f t="shared" si="8"/>
        <v>8927.5175196985383</v>
      </c>
      <c r="Q12" s="104">
        <f t="shared" si="9"/>
        <v>3258543.8946899665</v>
      </c>
    </row>
    <row r="13" spans="2:27" x14ac:dyDescent="0.3">
      <c r="B13" s="98">
        <v>2026</v>
      </c>
      <c r="C13" s="99">
        <f t="shared" si="4"/>
        <v>3277.313936025012</v>
      </c>
      <c r="D13" s="100">
        <v>0.4</v>
      </c>
      <c r="E13" s="99">
        <f t="shared" si="0"/>
        <v>3913.1128396138643</v>
      </c>
      <c r="F13" s="101">
        <f t="shared" si="1"/>
        <v>2608.7418930759095</v>
      </c>
      <c r="G13" s="82"/>
      <c r="H13" s="98">
        <v>2026</v>
      </c>
      <c r="I13" s="99">
        <f t="shared" si="5"/>
        <v>1867.3349630913531</v>
      </c>
      <c r="J13" s="100">
        <v>0.4</v>
      </c>
      <c r="K13" s="99">
        <f t="shared" si="2"/>
        <v>1523.7453298825442</v>
      </c>
      <c r="L13" s="101">
        <f t="shared" si="3"/>
        <v>1015.8302199216962</v>
      </c>
      <c r="N13" s="26">
        <f t="shared" si="6"/>
        <v>5436.8581694964087</v>
      </c>
      <c r="O13" s="102">
        <f t="shared" si="7"/>
        <v>3624.5721129976055</v>
      </c>
      <c r="P13" s="103">
        <f t="shared" si="8"/>
        <v>9061.4302824940132</v>
      </c>
      <c r="Q13" s="104">
        <f t="shared" si="9"/>
        <v>3307422.053110315</v>
      </c>
    </row>
    <row r="14" spans="2:27" x14ac:dyDescent="0.3">
      <c r="B14" s="98">
        <v>2027</v>
      </c>
      <c r="C14" s="99">
        <f t="shared" si="4"/>
        <v>3326.4736450653868</v>
      </c>
      <c r="D14" s="100">
        <v>0.4</v>
      </c>
      <c r="E14" s="99">
        <f t="shared" si="0"/>
        <v>3971.8095322080717</v>
      </c>
      <c r="F14" s="101">
        <f t="shared" si="1"/>
        <v>2647.8730214720481</v>
      </c>
      <c r="G14" s="82"/>
      <c r="H14" s="98">
        <v>2027</v>
      </c>
      <c r="I14" s="99">
        <f t="shared" si="5"/>
        <v>1895.3449875377232</v>
      </c>
      <c r="J14" s="100">
        <v>0.4</v>
      </c>
      <c r="K14" s="99">
        <f t="shared" si="2"/>
        <v>1546.6015098307823</v>
      </c>
      <c r="L14" s="101">
        <f t="shared" si="3"/>
        <v>1031.0676732205216</v>
      </c>
      <c r="N14" s="26">
        <f t="shared" si="6"/>
        <v>5518.4110420388542</v>
      </c>
      <c r="O14" s="102">
        <f t="shared" si="7"/>
        <v>3678.9406946925697</v>
      </c>
      <c r="P14" s="103">
        <f t="shared" si="8"/>
        <v>9197.3517367314234</v>
      </c>
      <c r="Q14" s="104">
        <f t="shared" si="9"/>
        <v>3357033.3839069693</v>
      </c>
      <c r="AA14" s="105"/>
    </row>
    <row r="15" spans="2:27" s="106" customFormat="1" ht="15.75" customHeight="1" x14ac:dyDescent="0.3">
      <c r="B15" s="98">
        <v>2028</v>
      </c>
      <c r="C15" s="99">
        <f t="shared" si="4"/>
        <v>3376.3707497413675</v>
      </c>
      <c r="D15" s="100">
        <v>0.4</v>
      </c>
      <c r="E15" s="99">
        <f t="shared" si="0"/>
        <v>4031.3866751911924</v>
      </c>
      <c r="F15" s="101">
        <f t="shared" si="1"/>
        <v>2687.591116794129</v>
      </c>
      <c r="G15" s="82"/>
      <c r="H15" s="98">
        <v>2028</v>
      </c>
      <c r="I15" s="99">
        <f t="shared" si="5"/>
        <v>1923.7751623507888</v>
      </c>
      <c r="J15" s="100">
        <v>0.4</v>
      </c>
      <c r="K15" s="99">
        <f t="shared" si="2"/>
        <v>1569.8005324782439</v>
      </c>
      <c r="L15" s="101">
        <f t="shared" si="3"/>
        <v>1046.5336883188293</v>
      </c>
      <c r="N15" s="26">
        <f t="shared" si="6"/>
        <v>5601.1872076694362</v>
      </c>
      <c r="O15" s="102">
        <f t="shared" si="7"/>
        <v>3734.1248051129583</v>
      </c>
      <c r="P15" s="103">
        <f t="shared" si="8"/>
        <v>9335.312012782395</v>
      </c>
      <c r="Q15" s="104">
        <f t="shared" si="9"/>
        <v>3407388.8846655739</v>
      </c>
    </row>
    <row r="16" spans="2:27" x14ac:dyDescent="0.3">
      <c r="B16" s="98">
        <v>2029</v>
      </c>
      <c r="C16" s="99">
        <f t="shared" si="4"/>
        <v>3427.0163109874875</v>
      </c>
      <c r="D16" s="100">
        <v>0.4</v>
      </c>
      <c r="E16" s="99">
        <f t="shared" si="0"/>
        <v>4091.8574753190601</v>
      </c>
      <c r="F16" s="101">
        <f t="shared" si="1"/>
        <v>2727.9049835460401</v>
      </c>
      <c r="G16" s="82"/>
      <c r="H16" s="98">
        <v>2029</v>
      </c>
      <c r="I16" s="99">
        <f t="shared" si="5"/>
        <v>1952.6317897860504</v>
      </c>
      <c r="J16" s="100">
        <v>0.4</v>
      </c>
      <c r="K16" s="99">
        <f t="shared" si="2"/>
        <v>1593.3475404654173</v>
      </c>
      <c r="L16" s="101">
        <f t="shared" si="3"/>
        <v>1062.2316936436116</v>
      </c>
      <c r="N16" s="26">
        <f t="shared" si="6"/>
        <v>5685.2050157844769</v>
      </c>
      <c r="O16" s="102">
        <f t="shared" si="7"/>
        <v>3790.1366771896519</v>
      </c>
      <c r="P16" s="103">
        <f t="shared" si="8"/>
        <v>9475.3416929741288</v>
      </c>
      <c r="Q16" s="104">
        <f t="shared" si="9"/>
        <v>3458499.717935557</v>
      </c>
    </row>
    <row r="17" spans="2:27" x14ac:dyDescent="0.3">
      <c r="B17" s="107">
        <v>2030</v>
      </c>
      <c r="C17" s="108">
        <f t="shared" ref="C17:C27" si="10">C16*$G$36</f>
        <v>3478.4215556522995</v>
      </c>
      <c r="D17" s="109">
        <v>0.4</v>
      </c>
      <c r="E17" s="108">
        <f t="shared" si="0"/>
        <v>4153.2353374488457</v>
      </c>
      <c r="F17" s="110">
        <f t="shared" si="1"/>
        <v>2768.8235582992306</v>
      </c>
      <c r="G17" s="82"/>
      <c r="H17" s="107">
        <v>2030</v>
      </c>
      <c r="I17" s="108">
        <f t="shared" ref="I17:I27" si="11">I16*$G$36</f>
        <v>1981.921266632841</v>
      </c>
      <c r="J17" s="109">
        <v>0.4</v>
      </c>
      <c r="K17" s="108">
        <f t="shared" si="2"/>
        <v>1617.2477535723983</v>
      </c>
      <c r="L17" s="110">
        <f t="shared" si="3"/>
        <v>1078.1651690482656</v>
      </c>
      <c r="N17" s="26">
        <f t="shared" si="6"/>
        <v>5770.483091021244</v>
      </c>
      <c r="O17" s="102">
        <f t="shared" si="7"/>
        <v>3846.988727347496</v>
      </c>
      <c r="P17" s="103">
        <f t="shared" si="8"/>
        <v>9617.4718183687401</v>
      </c>
      <c r="Q17" s="104">
        <f t="shared" si="9"/>
        <v>3510377.2137045902</v>
      </c>
    </row>
    <row r="18" spans="2:27" ht="15.75" customHeight="1" x14ac:dyDescent="0.3">
      <c r="B18" s="98">
        <v>2031</v>
      </c>
      <c r="C18" s="99">
        <f t="shared" si="10"/>
        <v>3530.5978789870837</v>
      </c>
      <c r="D18" s="100">
        <v>0.4</v>
      </c>
      <c r="E18" s="99">
        <f t="shared" si="0"/>
        <v>4215.5338675105777</v>
      </c>
      <c r="F18" s="101">
        <f t="shared" si="1"/>
        <v>2810.3559116737188</v>
      </c>
      <c r="G18" s="82"/>
      <c r="H18" s="98">
        <v>2031</v>
      </c>
      <c r="I18" s="99">
        <f t="shared" si="11"/>
        <v>2011.6500856323335</v>
      </c>
      <c r="J18" s="100">
        <v>0.4</v>
      </c>
      <c r="K18" s="99">
        <f t="shared" si="2"/>
        <v>1641.5064698759841</v>
      </c>
      <c r="L18" s="101">
        <f t="shared" si="3"/>
        <v>1094.3376465839895</v>
      </c>
      <c r="N18" s="26">
        <f t="shared" si="6"/>
        <v>5857.040337386562</v>
      </c>
      <c r="O18" s="102">
        <f t="shared" si="7"/>
        <v>3904.693558257708</v>
      </c>
      <c r="P18" s="103">
        <f t="shared" si="8"/>
        <v>9761.7338956442691</v>
      </c>
      <c r="Q18" s="104">
        <f t="shared" si="9"/>
        <v>3563032.8719101581</v>
      </c>
    </row>
    <row r="19" spans="2:27" x14ac:dyDescent="0.3">
      <c r="B19" s="98">
        <v>2032</v>
      </c>
      <c r="C19" s="99">
        <f t="shared" si="10"/>
        <v>3583.5568471718898</v>
      </c>
      <c r="D19" s="100">
        <v>0.4</v>
      </c>
      <c r="E19" s="99">
        <f t="shared" si="0"/>
        <v>4278.7668755232362</v>
      </c>
      <c r="F19" s="101">
        <f t="shared" si="1"/>
        <v>2852.5112503488244</v>
      </c>
      <c r="G19" s="82"/>
      <c r="H19" s="98">
        <v>2032</v>
      </c>
      <c r="I19" s="99">
        <f t="shared" si="11"/>
        <v>2041.8248369168182</v>
      </c>
      <c r="J19" s="100">
        <v>0.4</v>
      </c>
      <c r="K19" s="99">
        <f t="shared" si="2"/>
        <v>1666.1290669241237</v>
      </c>
      <c r="L19" s="101">
        <f t="shared" si="3"/>
        <v>1110.7527112827493</v>
      </c>
      <c r="N19" s="26">
        <f t="shared" si="6"/>
        <v>5944.8959424473596</v>
      </c>
      <c r="O19" s="102">
        <f t="shared" si="7"/>
        <v>3963.2639616315737</v>
      </c>
      <c r="P19" s="103">
        <f t="shared" si="8"/>
        <v>9908.1599040789333</v>
      </c>
      <c r="Q19" s="104">
        <f t="shared" si="9"/>
        <v>3616478.3649888108</v>
      </c>
    </row>
    <row r="20" spans="2:27" ht="15" customHeight="1" x14ac:dyDescent="0.3">
      <c r="B20" s="98">
        <v>2033</v>
      </c>
      <c r="C20" s="99">
        <f t="shared" si="10"/>
        <v>3637.3101998794677</v>
      </c>
      <c r="D20" s="100">
        <v>0.4</v>
      </c>
      <c r="E20" s="99">
        <f t="shared" si="0"/>
        <v>4342.948378656085</v>
      </c>
      <c r="F20" s="101">
        <f t="shared" si="1"/>
        <v>2895.2989191040565</v>
      </c>
      <c r="G20" s="82"/>
      <c r="H20" s="98">
        <v>2033</v>
      </c>
      <c r="I20" s="99">
        <f t="shared" si="11"/>
        <v>2072.4522094705703</v>
      </c>
      <c r="J20" s="100">
        <v>0.4</v>
      </c>
      <c r="K20" s="99">
        <f t="shared" si="2"/>
        <v>1691.1210029279855</v>
      </c>
      <c r="L20" s="101">
        <f t="shared" si="3"/>
        <v>1127.4140019519905</v>
      </c>
      <c r="N20" s="26">
        <f t="shared" si="6"/>
        <v>6034.0693815840705</v>
      </c>
      <c r="O20" s="102">
        <f t="shared" si="7"/>
        <v>4022.712921056047</v>
      </c>
      <c r="P20" s="103">
        <f t="shared" si="8"/>
        <v>10056.782302640117</v>
      </c>
      <c r="Q20" s="104">
        <f t="shared" si="9"/>
        <v>3670725.5404636427</v>
      </c>
    </row>
    <row r="21" spans="2:27" ht="15.75" customHeight="1" x14ac:dyDescent="0.3">
      <c r="B21" s="98">
        <v>2034</v>
      </c>
      <c r="C21" s="99">
        <f t="shared" si="10"/>
        <v>3691.8698528776595</v>
      </c>
      <c r="D21" s="100">
        <v>0.4</v>
      </c>
      <c r="E21" s="99">
        <f t="shared" si="0"/>
        <v>4408.092604335925</v>
      </c>
      <c r="F21" s="101">
        <f t="shared" si="1"/>
        <v>2938.7284028906174</v>
      </c>
      <c r="G21" s="82"/>
      <c r="H21" s="98">
        <v>2034</v>
      </c>
      <c r="I21" s="99">
        <f t="shared" si="11"/>
        <v>2103.5389926126286</v>
      </c>
      <c r="J21" s="100">
        <v>0.4</v>
      </c>
      <c r="K21" s="99">
        <f t="shared" si="2"/>
        <v>1716.4878179719049</v>
      </c>
      <c r="L21" s="101">
        <f t="shared" si="3"/>
        <v>1144.3252119812701</v>
      </c>
      <c r="N21" s="26">
        <f t="shared" si="6"/>
        <v>6124.5804223078303</v>
      </c>
      <c r="O21" s="102">
        <f t="shared" si="7"/>
        <v>4083.0536148718875</v>
      </c>
      <c r="P21" s="103">
        <f t="shared" si="8"/>
        <v>10207.634037179718</v>
      </c>
      <c r="Q21" s="104">
        <f t="shared" si="9"/>
        <v>3725786.4235705971</v>
      </c>
    </row>
    <row r="22" spans="2:27" x14ac:dyDescent="0.3">
      <c r="B22" s="98">
        <v>2035</v>
      </c>
      <c r="C22" s="99">
        <f t="shared" si="10"/>
        <v>3747.247900670824</v>
      </c>
      <c r="D22" s="100">
        <v>0.4</v>
      </c>
      <c r="E22" s="99">
        <f t="shared" si="0"/>
        <v>4474.2139934009638</v>
      </c>
      <c r="F22" s="101">
        <f t="shared" si="1"/>
        <v>2982.8093289339763</v>
      </c>
      <c r="G22" s="82"/>
      <c r="H22" s="98">
        <v>2035</v>
      </c>
      <c r="I22" s="99">
        <f t="shared" si="11"/>
        <v>2135.092077501818</v>
      </c>
      <c r="J22" s="100">
        <v>0.4</v>
      </c>
      <c r="K22" s="99">
        <f t="shared" si="2"/>
        <v>1742.2351352414835</v>
      </c>
      <c r="L22" s="101">
        <f t="shared" si="3"/>
        <v>1161.4900901609892</v>
      </c>
      <c r="N22" s="26">
        <f t="shared" si="6"/>
        <v>6216.4491286424472</v>
      </c>
      <c r="O22" s="102">
        <f t="shared" si="7"/>
        <v>4144.2994190949657</v>
      </c>
      <c r="P22" s="103">
        <f t="shared" si="8"/>
        <v>10360.748547737414</v>
      </c>
      <c r="Q22" s="104">
        <f t="shared" si="9"/>
        <v>3781673.2199241561</v>
      </c>
    </row>
    <row r="23" spans="2:27" x14ac:dyDescent="0.3">
      <c r="B23" s="98">
        <v>2036</v>
      </c>
      <c r="C23" s="99">
        <f t="shared" si="10"/>
        <v>3803.4566191808858</v>
      </c>
      <c r="D23" s="100">
        <v>0.4</v>
      </c>
      <c r="E23" s="99">
        <f t="shared" si="0"/>
        <v>4541.3272033019775</v>
      </c>
      <c r="F23" s="101">
        <f t="shared" si="1"/>
        <v>3027.551468867985</v>
      </c>
      <c r="G23" s="82"/>
      <c r="H23" s="98">
        <v>2036</v>
      </c>
      <c r="I23" s="99">
        <f t="shared" si="11"/>
        <v>2167.1184586643453</v>
      </c>
      <c r="J23" s="100">
        <v>0.4</v>
      </c>
      <c r="K23" s="99">
        <f t="shared" si="2"/>
        <v>1768.3686622701059</v>
      </c>
      <c r="L23" s="101">
        <f t="shared" si="3"/>
        <v>1178.912441513404</v>
      </c>
      <c r="N23" s="26">
        <f t="shared" si="6"/>
        <v>6309.6958655720837</v>
      </c>
      <c r="O23" s="102">
        <f t="shared" si="7"/>
        <v>4206.4639103813888</v>
      </c>
      <c r="P23" s="103">
        <f t="shared" si="8"/>
        <v>10516.159775953472</v>
      </c>
      <c r="Q23" s="104">
        <f t="shared" si="9"/>
        <v>3838398.3182230173</v>
      </c>
      <c r="AA23" s="105"/>
    </row>
    <row r="24" spans="2:27" x14ac:dyDescent="0.3">
      <c r="B24" s="98">
        <v>2037</v>
      </c>
      <c r="C24" s="99">
        <f t="shared" si="10"/>
        <v>3860.5084684685989</v>
      </c>
      <c r="D24" s="100">
        <v>0.4</v>
      </c>
      <c r="E24" s="99">
        <f t="shared" si="0"/>
        <v>4609.4471113515065</v>
      </c>
      <c r="F24" s="101">
        <f t="shared" si="1"/>
        <v>3072.9647409010049</v>
      </c>
      <c r="G24" s="82"/>
      <c r="H24" s="98">
        <v>2037</v>
      </c>
      <c r="I24" s="99">
        <f t="shared" si="11"/>
        <v>2199.6252355443103</v>
      </c>
      <c r="J24" s="100">
        <v>0.4</v>
      </c>
      <c r="K24" s="99">
        <f t="shared" si="2"/>
        <v>1794.8941922041574</v>
      </c>
      <c r="L24" s="101">
        <f t="shared" si="3"/>
        <v>1196.5961281361049</v>
      </c>
      <c r="N24" s="26">
        <f t="shared" si="6"/>
        <v>6404.3413035556641</v>
      </c>
      <c r="O24" s="102">
        <f t="shared" si="7"/>
        <v>4269.56086903711</v>
      </c>
      <c r="P24" s="103">
        <f t="shared" si="8"/>
        <v>10673.902172592774</v>
      </c>
      <c r="Q24" s="104">
        <f t="shared" si="9"/>
        <v>3895974.2929963628</v>
      </c>
    </row>
    <row r="25" spans="2:27" x14ac:dyDescent="0.3">
      <c r="B25" s="98">
        <v>2038</v>
      </c>
      <c r="C25" s="99">
        <f t="shared" si="10"/>
        <v>3918.4160954956274</v>
      </c>
      <c r="D25" s="100">
        <v>0.4</v>
      </c>
      <c r="E25" s="99">
        <f t="shared" si="0"/>
        <v>4678.5888180217789</v>
      </c>
      <c r="F25" s="101">
        <f t="shared" si="1"/>
        <v>3119.0592120145193</v>
      </c>
      <c r="G25" s="82"/>
      <c r="H25" s="98">
        <v>2038</v>
      </c>
      <c r="I25" s="99">
        <f t="shared" si="11"/>
        <v>2232.6196140774746</v>
      </c>
      <c r="J25" s="100">
        <v>0.4</v>
      </c>
      <c r="K25" s="99">
        <f t="shared" si="2"/>
        <v>1821.8176050872191</v>
      </c>
      <c r="L25" s="101">
        <f t="shared" si="3"/>
        <v>1214.5450700581464</v>
      </c>
      <c r="N25" s="26">
        <f t="shared" si="6"/>
        <v>6500.4064231089978</v>
      </c>
      <c r="O25" s="102">
        <f t="shared" si="7"/>
        <v>4333.6042820726652</v>
      </c>
      <c r="P25" s="103">
        <f t="shared" si="8"/>
        <v>10834.010705181663</v>
      </c>
      <c r="Q25" s="104">
        <f t="shared" si="9"/>
        <v>3954413.9073913069</v>
      </c>
    </row>
    <row r="26" spans="2:27" x14ac:dyDescent="0.3">
      <c r="B26" s="98">
        <v>2039</v>
      </c>
      <c r="C26" s="99">
        <f t="shared" si="10"/>
        <v>3977.1923369280612</v>
      </c>
      <c r="D26" s="100">
        <v>0.4</v>
      </c>
      <c r="E26" s="99">
        <f t="shared" si="0"/>
        <v>4748.7676502921049</v>
      </c>
      <c r="F26" s="101">
        <f t="shared" si="1"/>
        <v>3165.8451001947369</v>
      </c>
      <c r="G26" s="82"/>
      <c r="H26" s="98">
        <v>2039</v>
      </c>
      <c r="I26" s="99">
        <f t="shared" si="11"/>
        <v>2266.1089082886365</v>
      </c>
      <c r="J26" s="100">
        <v>0.4</v>
      </c>
      <c r="K26" s="99">
        <f t="shared" si="2"/>
        <v>1849.1448691635273</v>
      </c>
      <c r="L26" s="101">
        <f t="shared" si="3"/>
        <v>1232.7632461090184</v>
      </c>
      <c r="N26" s="26">
        <f t="shared" si="6"/>
        <v>6597.9125194556327</v>
      </c>
      <c r="O26" s="102">
        <f t="shared" si="7"/>
        <v>4398.6083463037558</v>
      </c>
      <c r="P26" s="103">
        <f t="shared" si="8"/>
        <v>10996.520865759388</v>
      </c>
      <c r="Q26" s="104">
        <f t="shared" si="9"/>
        <v>4013730.1160021769</v>
      </c>
    </row>
    <row r="27" spans="2:27" ht="17.25" thickBot="1" x14ac:dyDescent="0.35">
      <c r="B27" s="111">
        <v>2040</v>
      </c>
      <c r="C27" s="112">
        <f t="shared" si="10"/>
        <v>4036.8502219819816</v>
      </c>
      <c r="D27" s="113">
        <v>0.4</v>
      </c>
      <c r="E27" s="112">
        <f t="shared" si="0"/>
        <v>4819.9991650464854</v>
      </c>
      <c r="F27" s="114">
        <f t="shared" si="1"/>
        <v>3213.3327766976572</v>
      </c>
      <c r="G27" s="82"/>
      <c r="H27" s="111">
        <v>2040</v>
      </c>
      <c r="I27" s="112">
        <f t="shared" si="11"/>
        <v>2300.100541912966</v>
      </c>
      <c r="J27" s="113">
        <v>0.4</v>
      </c>
      <c r="K27" s="112">
        <f t="shared" si="2"/>
        <v>1876.8820422009803</v>
      </c>
      <c r="L27" s="114">
        <f t="shared" si="3"/>
        <v>1251.2546948006536</v>
      </c>
      <c r="N27" s="115">
        <f t="shared" si="6"/>
        <v>6696.8812072474657</v>
      </c>
      <c r="O27" s="116">
        <f t="shared" si="7"/>
        <v>4464.5874714983111</v>
      </c>
      <c r="P27" s="117">
        <f t="shared" si="8"/>
        <v>11161.468678745776</v>
      </c>
      <c r="Q27" s="118">
        <f t="shared" si="9"/>
        <v>4073936.067742208</v>
      </c>
    </row>
    <row r="28" spans="2:27" ht="16.5" customHeight="1" x14ac:dyDescent="0.3">
      <c r="B28" s="247" t="s">
        <v>125</v>
      </c>
      <c r="C28" s="247"/>
      <c r="D28" s="247"/>
      <c r="E28" s="247"/>
      <c r="F28" s="247"/>
      <c r="G28" s="247"/>
      <c r="H28" s="247"/>
      <c r="I28" s="247"/>
      <c r="J28" s="247"/>
      <c r="K28" s="247"/>
      <c r="L28" s="247"/>
      <c r="N28" s="248" t="s">
        <v>126</v>
      </c>
      <c r="O28" s="248"/>
      <c r="P28" s="248"/>
      <c r="Q28" s="248"/>
    </row>
    <row r="29" spans="2:27" x14ac:dyDescent="0.3">
      <c r="B29" s="247"/>
      <c r="C29" s="247"/>
      <c r="D29" s="247"/>
      <c r="E29" s="247"/>
      <c r="F29" s="247"/>
      <c r="G29" s="247"/>
      <c r="H29" s="247"/>
      <c r="I29" s="247"/>
      <c r="J29" s="247"/>
      <c r="K29" s="247"/>
      <c r="L29" s="247"/>
      <c r="N29" s="249"/>
      <c r="O29" s="249"/>
      <c r="P29" s="249"/>
      <c r="Q29" s="249"/>
    </row>
    <row r="30" spans="2:27" x14ac:dyDescent="0.3">
      <c r="B30" s="247"/>
      <c r="C30" s="247"/>
      <c r="D30" s="247"/>
      <c r="E30" s="247"/>
      <c r="F30" s="247"/>
      <c r="G30" s="247"/>
      <c r="H30" s="247"/>
      <c r="I30" s="247"/>
      <c r="J30" s="247"/>
      <c r="K30" s="247"/>
      <c r="L30" s="247"/>
      <c r="N30" s="212"/>
      <c r="O30" s="212"/>
      <c r="P30" s="212"/>
      <c r="Q30" s="212"/>
    </row>
    <row r="31" spans="2:27" x14ac:dyDescent="0.3">
      <c r="B31" s="247"/>
      <c r="C31" s="247"/>
      <c r="D31" s="247"/>
      <c r="E31" s="247"/>
      <c r="F31" s="247"/>
      <c r="G31" s="247"/>
      <c r="H31" s="247"/>
      <c r="I31" s="247"/>
      <c r="J31" s="247"/>
      <c r="K31" s="247"/>
      <c r="L31" s="247"/>
    </row>
    <row r="33" spans="3:11" ht="17.25" thickBot="1" x14ac:dyDescent="0.35">
      <c r="D33" s="245" t="s">
        <v>122</v>
      </c>
      <c r="E33" s="245"/>
      <c r="F33" s="245"/>
      <c r="G33" s="245"/>
      <c r="H33" s="245"/>
      <c r="I33" s="245"/>
      <c r="J33" s="245"/>
    </row>
    <row r="34" spans="3:11" x14ac:dyDescent="0.3">
      <c r="D34" s="256" t="s">
        <v>62</v>
      </c>
      <c r="E34" s="257"/>
      <c r="F34" s="257"/>
      <c r="G34" s="41">
        <v>1.99</v>
      </c>
      <c r="H34" s="250" t="s">
        <v>64</v>
      </c>
      <c r="I34" s="250"/>
      <c r="J34" s="251"/>
    </row>
    <row r="35" spans="3:11" x14ac:dyDescent="0.3">
      <c r="D35" s="258" t="s">
        <v>63</v>
      </c>
      <c r="E35" s="259"/>
      <c r="F35" s="259"/>
      <c r="G35" s="53">
        <v>1.36</v>
      </c>
      <c r="H35" s="252" t="s">
        <v>64</v>
      </c>
      <c r="I35" s="252"/>
      <c r="J35" s="253"/>
    </row>
    <row r="36" spans="3:11" ht="17.25" thickBot="1" x14ac:dyDescent="0.35">
      <c r="D36" s="260" t="s">
        <v>67</v>
      </c>
      <c r="E36" s="261"/>
      <c r="F36" s="261"/>
      <c r="G36" s="65">
        <v>1.0149999999999999</v>
      </c>
      <c r="H36" s="254" t="s">
        <v>68</v>
      </c>
      <c r="I36" s="254"/>
      <c r="J36" s="255"/>
    </row>
    <row r="39" spans="3:11" ht="17.25" thickBot="1" x14ac:dyDescent="0.35">
      <c r="C39" s="80"/>
      <c r="D39" s="80"/>
      <c r="E39" s="119"/>
      <c r="F39" s="262" t="s">
        <v>123</v>
      </c>
      <c r="G39" s="262"/>
      <c r="H39" s="262"/>
      <c r="I39" s="262"/>
      <c r="J39" s="262"/>
      <c r="K39" s="262"/>
    </row>
    <row r="40" spans="3:11" x14ac:dyDescent="0.3">
      <c r="C40" s="80"/>
      <c r="E40" s="87"/>
      <c r="F40" s="236">
        <v>2017</v>
      </c>
      <c r="G40" s="238"/>
      <c r="H40" s="236">
        <v>2030</v>
      </c>
      <c r="I40" s="238"/>
      <c r="J40" s="269" t="s">
        <v>70</v>
      </c>
      <c r="K40" s="270"/>
    </row>
    <row r="41" spans="3:11" ht="17.25" thickBot="1" x14ac:dyDescent="0.35">
      <c r="C41" s="80"/>
      <c r="E41" s="87"/>
      <c r="F41" s="120" t="s">
        <v>57</v>
      </c>
      <c r="G41" s="121" t="s">
        <v>33</v>
      </c>
      <c r="H41" s="120" t="s">
        <v>57</v>
      </c>
      <c r="I41" s="121" t="s">
        <v>33</v>
      </c>
      <c r="J41" s="271"/>
      <c r="K41" s="272"/>
    </row>
    <row r="42" spans="3:11" x14ac:dyDescent="0.3">
      <c r="C42" s="228" t="s">
        <v>56</v>
      </c>
      <c r="D42" s="228"/>
      <c r="E42" s="229"/>
      <c r="F42" s="122">
        <f>43680+4160</f>
        <v>47840</v>
      </c>
      <c r="G42" s="123">
        <v>208000</v>
      </c>
      <c r="H42" s="122">
        <f>43680+4160</f>
        <v>47840</v>
      </c>
      <c r="I42" s="123">
        <v>208000</v>
      </c>
      <c r="J42" s="271"/>
      <c r="K42" s="272"/>
    </row>
    <row r="43" spans="3:11" x14ac:dyDescent="0.3">
      <c r="C43" s="228" t="s">
        <v>58</v>
      </c>
      <c r="D43" s="228"/>
      <c r="E43" s="229"/>
      <c r="F43" s="98">
        <v>3000</v>
      </c>
      <c r="G43" s="124">
        <v>22000</v>
      </c>
      <c r="H43" s="98">
        <v>3000</v>
      </c>
      <c r="I43" s="124">
        <v>22000</v>
      </c>
      <c r="J43" s="271"/>
      <c r="K43" s="272"/>
    </row>
    <row r="44" spans="3:11" x14ac:dyDescent="0.3">
      <c r="C44" s="228" t="s">
        <v>59</v>
      </c>
      <c r="D44" s="228"/>
      <c r="E44" s="229"/>
      <c r="F44" s="98">
        <f>2600+6760</f>
        <v>9360</v>
      </c>
      <c r="G44" s="124">
        <v>41848</v>
      </c>
      <c r="H44" s="98">
        <f>2600+6760</f>
        <v>9360</v>
      </c>
      <c r="I44" s="124">
        <v>41848</v>
      </c>
      <c r="J44" s="271"/>
      <c r="K44" s="272"/>
    </row>
    <row r="45" spans="3:11" ht="17.25" thickBot="1" x14ac:dyDescent="0.35">
      <c r="C45" s="228" t="s">
        <v>55</v>
      </c>
      <c r="D45" s="228"/>
      <c r="E45" s="229"/>
      <c r="F45" s="125">
        <v>20360</v>
      </c>
      <c r="G45" s="126">
        <v>7800</v>
      </c>
      <c r="H45" s="125">
        <v>36560</v>
      </c>
      <c r="I45" s="126">
        <v>12000</v>
      </c>
      <c r="J45" s="271"/>
      <c r="K45" s="272"/>
    </row>
    <row r="46" spans="3:11" ht="17.25" thickBot="1" x14ac:dyDescent="0.35">
      <c r="C46" s="228" t="s">
        <v>73</v>
      </c>
      <c r="D46" s="228"/>
      <c r="E46" s="229"/>
      <c r="F46" s="127">
        <f>SUM(F42:F45)/365</f>
        <v>220.7123287671233</v>
      </c>
      <c r="G46" s="128">
        <f>SUM(G42:G45)/365</f>
        <v>766.158904109589</v>
      </c>
      <c r="H46" s="127">
        <f>SUM(H42:H45)/365</f>
        <v>265.09589041095893</v>
      </c>
      <c r="I46" s="128">
        <f>SUM(I42:I45)/365</f>
        <v>777.66575342465751</v>
      </c>
      <c r="J46" s="271"/>
      <c r="K46" s="272"/>
    </row>
    <row r="47" spans="3:11" ht="17.25" thickBot="1" x14ac:dyDescent="0.35">
      <c r="C47" s="228" t="s">
        <v>75</v>
      </c>
      <c r="D47" s="228"/>
      <c r="E47" s="229"/>
      <c r="F47" s="241">
        <f>SUM(F46:G46)</f>
        <v>986.87123287671227</v>
      </c>
      <c r="G47" s="242"/>
      <c r="H47" s="241">
        <f>SUM(H46:I46)</f>
        <v>1042.7616438356165</v>
      </c>
      <c r="I47" s="242"/>
      <c r="J47" s="271"/>
      <c r="K47" s="272"/>
    </row>
    <row r="48" spans="3:11" ht="17.25" thickBot="1" x14ac:dyDescent="0.35">
      <c r="C48" s="228" t="s">
        <v>76</v>
      </c>
      <c r="D48" s="228"/>
      <c r="E48" s="229"/>
      <c r="F48" s="230">
        <f>G46/F47</f>
        <v>0.77635144138941947</v>
      </c>
      <c r="G48" s="231"/>
      <c r="H48" s="230">
        <f>I46/H47</f>
        <v>0.74577518076341009</v>
      </c>
      <c r="I48" s="231"/>
      <c r="J48" s="273"/>
      <c r="K48" s="274"/>
    </row>
    <row r="49" spans="3:11" ht="17.25" thickBot="1" x14ac:dyDescent="0.35">
      <c r="D49" s="105"/>
      <c r="E49" s="129"/>
      <c r="F49" s="130"/>
      <c r="G49" s="130"/>
      <c r="H49" s="130"/>
      <c r="I49" s="130"/>
      <c r="J49" s="131"/>
      <c r="K49" s="131"/>
    </row>
    <row r="50" spans="3:11" x14ac:dyDescent="0.3">
      <c r="E50" s="132"/>
      <c r="F50" s="236">
        <v>2017</v>
      </c>
      <c r="G50" s="238"/>
      <c r="H50" s="236">
        <v>2030</v>
      </c>
      <c r="I50" s="238"/>
      <c r="J50" s="263" t="s">
        <v>69</v>
      </c>
      <c r="K50" s="264"/>
    </row>
    <row r="51" spans="3:11" ht="17.25" thickBot="1" x14ac:dyDescent="0.35">
      <c r="E51" s="87"/>
      <c r="F51" s="120" t="s">
        <v>57</v>
      </c>
      <c r="G51" s="121" t="s">
        <v>33</v>
      </c>
      <c r="H51" s="120" t="s">
        <v>57</v>
      </c>
      <c r="I51" s="121" t="s">
        <v>33</v>
      </c>
      <c r="J51" s="265"/>
      <c r="K51" s="266"/>
    </row>
    <row r="52" spans="3:11" x14ac:dyDescent="0.3">
      <c r="C52" s="228" t="s">
        <v>60</v>
      </c>
      <c r="D52" s="228"/>
      <c r="E52" s="229"/>
      <c r="F52" s="133">
        <v>74880</v>
      </c>
      <c r="G52" s="134">
        <v>0</v>
      </c>
      <c r="H52" s="133">
        <v>74880</v>
      </c>
      <c r="I52" s="135">
        <v>0</v>
      </c>
      <c r="J52" s="265"/>
      <c r="K52" s="266"/>
    </row>
    <row r="53" spans="3:11" x14ac:dyDescent="0.3">
      <c r="C53" s="243" t="s">
        <v>54</v>
      </c>
      <c r="D53" s="243"/>
      <c r="E53" s="244"/>
      <c r="F53" s="98">
        <v>340000</v>
      </c>
      <c r="G53" s="136">
        <v>100000</v>
      </c>
      <c r="H53" s="98">
        <v>390000</v>
      </c>
      <c r="I53" s="137">
        <v>150000</v>
      </c>
      <c r="J53" s="265"/>
      <c r="K53" s="266"/>
    </row>
    <row r="54" spans="3:11" ht="17.25" thickBot="1" x14ac:dyDescent="0.35">
      <c r="C54" s="243" t="s">
        <v>61</v>
      </c>
      <c r="D54" s="243"/>
      <c r="E54" s="244"/>
      <c r="F54" s="138">
        <v>7800</v>
      </c>
      <c r="G54" s="139">
        <v>57200</v>
      </c>
      <c r="H54" s="138">
        <v>7800</v>
      </c>
      <c r="I54" s="140">
        <v>57200</v>
      </c>
      <c r="J54" s="265"/>
      <c r="K54" s="266"/>
    </row>
    <row r="55" spans="3:11" ht="17.25" thickBot="1" x14ac:dyDescent="0.35">
      <c r="C55" s="228" t="s">
        <v>73</v>
      </c>
      <c r="D55" s="228"/>
      <c r="E55" s="229"/>
      <c r="F55" s="127">
        <f>SUM(F52:F54)/365</f>
        <v>1158.027397260274</v>
      </c>
      <c r="G55" s="141">
        <f>SUM(G52:G54)/365</f>
        <v>430.6849315068493</v>
      </c>
      <c r="H55" s="127">
        <f>SUM(H52:H54)/365</f>
        <v>1295.013698630137</v>
      </c>
      <c r="I55" s="128">
        <f>SUM(I52:I54)/365</f>
        <v>567.67123287671234</v>
      </c>
      <c r="J55" s="265"/>
      <c r="K55" s="266"/>
    </row>
    <row r="56" spans="3:11" ht="17.25" thickBot="1" x14ac:dyDescent="0.35">
      <c r="C56" s="228" t="s">
        <v>75</v>
      </c>
      <c r="D56" s="228"/>
      <c r="E56" s="229"/>
      <c r="F56" s="241">
        <f>SUM(F55:G55)</f>
        <v>1588.7123287671234</v>
      </c>
      <c r="G56" s="242"/>
      <c r="H56" s="241">
        <f>SUM(H55:I55)</f>
        <v>1862.6849315068494</v>
      </c>
      <c r="I56" s="242"/>
      <c r="J56" s="265"/>
      <c r="K56" s="266"/>
    </row>
    <row r="57" spans="3:11" ht="17.25" thickBot="1" x14ac:dyDescent="0.35">
      <c r="C57" s="228" t="s">
        <v>76</v>
      </c>
      <c r="D57" s="228"/>
      <c r="E57" s="229"/>
      <c r="F57" s="230">
        <f>G55/F56</f>
        <v>0.27109057046285434</v>
      </c>
      <c r="G57" s="231"/>
      <c r="H57" s="230">
        <f>I55/H56</f>
        <v>0.30475966347002414</v>
      </c>
      <c r="I57" s="231"/>
      <c r="J57" s="267"/>
      <c r="K57" s="268"/>
    </row>
    <row r="58" spans="3:11" ht="17.25" thickBot="1" x14ac:dyDescent="0.35">
      <c r="E58" s="129"/>
      <c r="F58" s="130"/>
      <c r="G58" s="130"/>
      <c r="H58" s="130"/>
      <c r="I58" s="130"/>
      <c r="J58" s="142"/>
      <c r="K58" s="142"/>
    </row>
    <row r="59" spans="3:11" x14ac:dyDescent="0.3">
      <c r="E59" s="87"/>
      <c r="F59" s="236">
        <v>2017</v>
      </c>
      <c r="G59" s="238"/>
      <c r="H59" s="236">
        <v>2030</v>
      </c>
      <c r="I59" s="238"/>
      <c r="J59" s="269" t="s">
        <v>74</v>
      </c>
      <c r="K59" s="270"/>
    </row>
    <row r="60" spans="3:11" ht="17.25" thickBot="1" x14ac:dyDescent="0.35">
      <c r="E60" s="87"/>
      <c r="F60" s="120" t="s">
        <v>57</v>
      </c>
      <c r="G60" s="121" t="s">
        <v>33</v>
      </c>
      <c r="H60" s="120" t="s">
        <v>57</v>
      </c>
      <c r="I60" s="121" t="s">
        <v>33</v>
      </c>
      <c r="J60" s="271"/>
      <c r="K60" s="272"/>
    </row>
    <row r="61" spans="3:11" ht="17.25" thickBot="1" x14ac:dyDescent="0.35">
      <c r="C61" s="228" t="s">
        <v>73</v>
      </c>
      <c r="D61" s="228"/>
      <c r="E61" s="229"/>
      <c r="F61" s="127">
        <f>SUM(F46,F55)</f>
        <v>1378.7397260273974</v>
      </c>
      <c r="G61" s="141">
        <f>SUM(G46,G55)</f>
        <v>1196.8438356164384</v>
      </c>
      <c r="H61" s="127">
        <f>SUM(H46,H55)</f>
        <v>1560.1095890410959</v>
      </c>
      <c r="I61" s="128">
        <f>SUM(I46,I55)</f>
        <v>1345.33698630137</v>
      </c>
      <c r="J61" s="271"/>
      <c r="K61" s="272"/>
    </row>
    <row r="62" spans="3:11" ht="17.25" thickBot="1" x14ac:dyDescent="0.35">
      <c r="C62" s="228" t="s">
        <v>75</v>
      </c>
      <c r="D62" s="228"/>
      <c r="E62" s="229"/>
      <c r="F62" s="241">
        <f>SUM(F61:G61)</f>
        <v>2575.5835616438358</v>
      </c>
      <c r="G62" s="242"/>
      <c r="H62" s="241">
        <f>SUM(H61:I61)</f>
        <v>2905.4465753424656</v>
      </c>
      <c r="I62" s="242"/>
      <c r="J62" s="271"/>
      <c r="K62" s="272"/>
    </row>
    <row r="63" spans="3:11" ht="17.25" thickBot="1" x14ac:dyDescent="0.35">
      <c r="C63" s="228" t="s">
        <v>76</v>
      </c>
      <c r="D63" s="228"/>
      <c r="E63" s="229"/>
      <c r="F63" s="230">
        <f>G61/F62</f>
        <v>0.46468841214864987</v>
      </c>
      <c r="G63" s="231"/>
      <c r="H63" s="230">
        <f>I61/H62</f>
        <v>0.46303965721441454</v>
      </c>
      <c r="I63" s="231"/>
      <c r="J63" s="273"/>
      <c r="K63" s="274"/>
    </row>
    <row r="64" spans="3:11" x14ac:dyDescent="0.3">
      <c r="E64" s="87"/>
      <c r="F64" s="87"/>
      <c r="G64" s="87"/>
      <c r="H64" s="87"/>
      <c r="I64" s="87"/>
      <c r="J64" s="87"/>
      <c r="K64" s="87"/>
    </row>
    <row r="65" spans="3:11" x14ac:dyDescent="0.3">
      <c r="C65" s="106"/>
      <c r="E65" s="87"/>
      <c r="F65" s="87"/>
      <c r="G65" s="87"/>
      <c r="H65" s="87"/>
      <c r="I65" s="87"/>
      <c r="J65" s="87"/>
      <c r="K65" s="87"/>
    </row>
    <row r="66" spans="3:11" ht="17.25" thickBot="1" x14ac:dyDescent="0.35">
      <c r="E66" s="87"/>
      <c r="F66" s="235" t="s">
        <v>124</v>
      </c>
      <c r="G66" s="235"/>
      <c r="H66" s="235"/>
      <c r="I66" s="235"/>
      <c r="J66" s="235"/>
      <c r="K66" s="87"/>
    </row>
    <row r="67" spans="3:11" x14ac:dyDescent="0.3">
      <c r="E67" s="87"/>
      <c r="F67" s="232" t="s">
        <v>53</v>
      </c>
      <c r="G67" s="236" t="s">
        <v>77</v>
      </c>
      <c r="H67" s="237"/>
      <c r="I67" s="237"/>
      <c r="J67" s="238"/>
      <c r="K67" s="87"/>
    </row>
    <row r="68" spans="3:11" x14ac:dyDescent="0.3">
      <c r="E68" s="87"/>
      <c r="F68" s="233"/>
      <c r="G68" s="239" t="s">
        <v>78</v>
      </c>
      <c r="H68" s="240"/>
      <c r="I68" s="239" t="s">
        <v>79</v>
      </c>
      <c r="J68" s="240"/>
      <c r="K68" s="87"/>
    </row>
    <row r="69" spans="3:11" ht="17.25" thickBot="1" x14ac:dyDescent="0.35">
      <c r="E69" s="87"/>
      <c r="F69" s="234"/>
      <c r="G69" s="143" t="s">
        <v>65</v>
      </c>
      <c r="H69" s="144" t="s">
        <v>66</v>
      </c>
      <c r="I69" s="120" t="s">
        <v>65</v>
      </c>
      <c r="J69" s="145" t="s">
        <v>66</v>
      </c>
      <c r="K69" s="87"/>
    </row>
    <row r="70" spans="3:11" x14ac:dyDescent="0.3">
      <c r="E70" s="87"/>
      <c r="F70" s="146">
        <v>2017</v>
      </c>
      <c r="G70" s="122">
        <v>2900</v>
      </c>
      <c r="H70" s="147" t="s">
        <v>35</v>
      </c>
      <c r="I70" s="122">
        <v>1000</v>
      </c>
      <c r="J70" s="148">
        <v>0.3</v>
      </c>
      <c r="K70" s="87"/>
    </row>
    <row r="71" spans="3:11" x14ac:dyDescent="0.3">
      <c r="E71" s="87"/>
      <c r="F71" s="149">
        <v>2016</v>
      </c>
      <c r="G71" s="98">
        <v>3000</v>
      </c>
      <c r="H71" s="150" t="s">
        <v>35</v>
      </c>
      <c r="I71" s="98">
        <v>1900</v>
      </c>
      <c r="J71" s="151">
        <v>0.52</v>
      </c>
      <c r="K71" s="87"/>
    </row>
    <row r="72" spans="3:11" ht="17.25" thickBot="1" x14ac:dyDescent="0.35">
      <c r="E72" s="87"/>
      <c r="F72" s="152">
        <v>2015</v>
      </c>
      <c r="G72" s="125">
        <v>2000</v>
      </c>
      <c r="H72" s="153" t="s">
        <v>35</v>
      </c>
      <c r="I72" s="125" t="s">
        <v>35</v>
      </c>
      <c r="J72" s="126" t="s">
        <v>35</v>
      </c>
      <c r="K72" s="87"/>
    </row>
    <row r="73" spans="3:11" ht="17.25" thickBot="1" x14ac:dyDescent="0.35">
      <c r="E73" s="87"/>
      <c r="F73" s="154" t="s">
        <v>72</v>
      </c>
      <c r="G73" s="127">
        <f>AVERAGE(G70:G72)</f>
        <v>2633.3333333333335</v>
      </c>
      <c r="H73" s="155" t="s">
        <v>35</v>
      </c>
      <c r="I73" s="127">
        <f>AVERAGE(I70:I72)</f>
        <v>1450</v>
      </c>
      <c r="J73" s="156">
        <f>AVERAGE(J70:J72)</f>
        <v>0.41000000000000003</v>
      </c>
      <c r="K73" s="87"/>
    </row>
    <row r="74" spans="3:11" ht="17.25" thickBot="1" x14ac:dyDescent="0.35">
      <c r="E74" s="87"/>
      <c r="F74" s="157" t="s">
        <v>71</v>
      </c>
      <c r="G74" s="158">
        <v>2600</v>
      </c>
      <c r="H74" s="159">
        <v>0.4</v>
      </c>
      <c r="I74" s="158">
        <v>1500</v>
      </c>
      <c r="J74" s="160">
        <v>0.4</v>
      </c>
      <c r="K74" s="87"/>
    </row>
  </sheetData>
  <mergeCells count="55">
    <mergeCell ref="F39:K39"/>
    <mergeCell ref="J50:K57"/>
    <mergeCell ref="J59:K63"/>
    <mergeCell ref="J40:K48"/>
    <mergeCell ref="H40:I40"/>
    <mergeCell ref="F40:G40"/>
    <mergeCell ref="F50:G50"/>
    <mergeCell ref="H50:I50"/>
    <mergeCell ref="F59:G59"/>
    <mergeCell ref="H59:I59"/>
    <mergeCell ref="H47:I47"/>
    <mergeCell ref="H48:I48"/>
    <mergeCell ref="H56:I56"/>
    <mergeCell ref="H57:I57"/>
    <mergeCell ref="H34:J34"/>
    <mergeCell ref="H35:J35"/>
    <mergeCell ref="H36:J36"/>
    <mergeCell ref="D34:F34"/>
    <mergeCell ref="D35:F35"/>
    <mergeCell ref="D36:F36"/>
    <mergeCell ref="D33:J33"/>
    <mergeCell ref="B2:F2"/>
    <mergeCell ref="H2:L2"/>
    <mergeCell ref="N2:Q2"/>
    <mergeCell ref="B28:L31"/>
    <mergeCell ref="N28:Q29"/>
    <mergeCell ref="C55:E55"/>
    <mergeCell ref="C56:E56"/>
    <mergeCell ref="C57:E57"/>
    <mergeCell ref="F48:G48"/>
    <mergeCell ref="C47:E47"/>
    <mergeCell ref="C48:E48"/>
    <mergeCell ref="C52:E52"/>
    <mergeCell ref="C53:E53"/>
    <mergeCell ref="C54:E54"/>
    <mergeCell ref="F56:G56"/>
    <mergeCell ref="F57:G57"/>
    <mergeCell ref="F47:G47"/>
    <mergeCell ref="C42:E42"/>
    <mergeCell ref="C43:E43"/>
    <mergeCell ref="C44:E44"/>
    <mergeCell ref="C45:E45"/>
    <mergeCell ref="C46:E46"/>
    <mergeCell ref="C61:E61"/>
    <mergeCell ref="C62:E62"/>
    <mergeCell ref="C63:E63"/>
    <mergeCell ref="H63:I63"/>
    <mergeCell ref="F67:F69"/>
    <mergeCell ref="F66:J66"/>
    <mergeCell ref="G67:J67"/>
    <mergeCell ref="G68:H68"/>
    <mergeCell ref="I68:J68"/>
    <mergeCell ref="F62:G62"/>
    <mergeCell ref="F63:G63"/>
    <mergeCell ref="H62:I6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B2:AE56"/>
  <sheetViews>
    <sheetView topLeftCell="K13" workbookViewId="0">
      <selection activeCell="W37" sqref="W37"/>
    </sheetView>
  </sheetViews>
  <sheetFormatPr defaultRowHeight="16.5" x14ac:dyDescent="0.3"/>
  <cols>
    <col min="1" max="1" width="3.7109375" style="6" customWidth="1"/>
    <col min="2" max="13" width="12.7109375" style="6" customWidth="1"/>
    <col min="14" max="14" width="12.7109375" style="61" customWidth="1"/>
    <col min="15" max="31" width="12.7109375" style="6" customWidth="1"/>
    <col min="32" max="16384" width="9.140625" style="6"/>
  </cols>
  <sheetData>
    <row r="2" spans="2:30" ht="17.25" customHeight="1" thickBot="1" x14ac:dyDescent="0.35">
      <c r="B2" s="284" t="s">
        <v>141</v>
      </c>
      <c r="C2" s="284"/>
      <c r="D2" s="284"/>
      <c r="E2" s="284"/>
      <c r="F2" s="284"/>
      <c r="G2" s="284"/>
      <c r="H2" s="284"/>
      <c r="J2" s="284" t="s">
        <v>142</v>
      </c>
      <c r="K2" s="284"/>
      <c r="L2" s="284"/>
      <c r="M2" s="284"/>
      <c r="N2" s="284"/>
      <c r="O2" s="284"/>
      <c r="Q2" s="284" t="s">
        <v>143</v>
      </c>
      <c r="R2" s="284"/>
      <c r="S2" s="284"/>
      <c r="T2" s="284"/>
      <c r="U2" s="284"/>
      <c r="V2" s="284"/>
      <c r="X2" s="245" t="s">
        <v>132</v>
      </c>
      <c r="Y2" s="245"/>
      <c r="Z2" s="245"/>
      <c r="AA2" s="245"/>
      <c r="AB2" s="245"/>
      <c r="AC2" s="245"/>
      <c r="AD2" s="245"/>
    </row>
    <row r="3" spans="2:30" ht="16.5" customHeight="1" x14ac:dyDescent="0.3">
      <c r="B3" s="280" t="s">
        <v>53</v>
      </c>
      <c r="C3" s="285" t="s">
        <v>117</v>
      </c>
      <c r="D3" s="282" t="s">
        <v>102</v>
      </c>
      <c r="E3" s="282"/>
      <c r="F3" s="282"/>
      <c r="G3" s="282"/>
      <c r="H3" s="283"/>
      <c r="J3" s="280" t="s">
        <v>53</v>
      </c>
      <c r="K3" s="282" t="s">
        <v>135</v>
      </c>
      <c r="L3" s="282"/>
      <c r="M3" s="282"/>
      <c r="N3" s="282"/>
      <c r="O3" s="283"/>
      <c r="Q3" s="280" t="s">
        <v>53</v>
      </c>
      <c r="R3" s="282" t="s">
        <v>135</v>
      </c>
      <c r="S3" s="282"/>
      <c r="T3" s="282"/>
      <c r="U3" s="282"/>
      <c r="V3" s="283"/>
      <c r="X3" s="280" t="s">
        <v>53</v>
      </c>
      <c r="Y3" s="282" t="s">
        <v>136</v>
      </c>
      <c r="Z3" s="282"/>
      <c r="AA3" s="282"/>
      <c r="AB3" s="282"/>
      <c r="AC3" s="283"/>
      <c r="AD3" s="289" t="s">
        <v>118</v>
      </c>
    </row>
    <row r="4" spans="2:30" ht="15" customHeight="1" thickBot="1" x14ac:dyDescent="0.35">
      <c r="B4" s="281"/>
      <c r="C4" s="286"/>
      <c r="D4" s="36" t="s">
        <v>87</v>
      </c>
      <c r="E4" s="36" t="s">
        <v>88</v>
      </c>
      <c r="F4" s="36" t="s">
        <v>89</v>
      </c>
      <c r="G4" s="36" t="s">
        <v>90</v>
      </c>
      <c r="H4" s="37" t="s">
        <v>91</v>
      </c>
      <c r="J4" s="281"/>
      <c r="K4" s="36" t="s">
        <v>87</v>
      </c>
      <c r="L4" s="36" t="s">
        <v>88</v>
      </c>
      <c r="M4" s="36" t="s">
        <v>89</v>
      </c>
      <c r="N4" s="36" t="s">
        <v>90</v>
      </c>
      <c r="O4" s="37" t="s">
        <v>91</v>
      </c>
      <c r="Q4" s="281"/>
      <c r="R4" s="36" t="s">
        <v>87</v>
      </c>
      <c r="S4" s="36" t="s">
        <v>88</v>
      </c>
      <c r="T4" s="36" t="s">
        <v>89</v>
      </c>
      <c r="U4" s="36" t="s">
        <v>90</v>
      </c>
      <c r="V4" s="37" t="s">
        <v>91</v>
      </c>
      <c r="X4" s="281"/>
      <c r="Y4" s="36" t="s">
        <v>87</v>
      </c>
      <c r="Z4" s="36" t="s">
        <v>88</v>
      </c>
      <c r="AA4" s="36" t="s">
        <v>89</v>
      </c>
      <c r="AB4" s="36" t="s">
        <v>90</v>
      </c>
      <c r="AC4" s="37" t="s">
        <v>91</v>
      </c>
      <c r="AD4" s="290"/>
    </row>
    <row r="5" spans="2:30" x14ac:dyDescent="0.3">
      <c r="B5" s="38">
        <v>2017</v>
      </c>
      <c r="C5" s="39">
        <f>'Traffic – VMT'!Q4/1000000</f>
        <v>2.6331099999999998</v>
      </c>
      <c r="D5" s="40">
        <f t="shared" ref="D5:D28" si="0">$C$38</f>
        <v>2.5999999999999999E-2</v>
      </c>
      <c r="E5" s="41">
        <f t="shared" ref="E5:E28" si="1">$C$39</f>
        <v>0.1229</v>
      </c>
      <c r="F5" s="41">
        <f t="shared" ref="F5:F28" si="2">$C$40</f>
        <v>0.13739999999999999</v>
      </c>
      <c r="G5" s="41">
        <f t="shared" ref="G5:G28" si="3">$C$41</f>
        <v>0.14929999999999999</v>
      </c>
      <c r="H5" s="42">
        <f t="shared" ref="H5:H28" si="4">$C$42</f>
        <v>0.5635</v>
      </c>
      <c r="J5" s="38">
        <v>2017</v>
      </c>
      <c r="K5" s="43">
        <f t="shared" ref="K5:K28" si="5">$C5*$D5*$H$38</f>
        <v>727973.28409235762</v>
      </c>
      <c r="L5" s="44">
        <f t="shared" ref="L5:L28" si="6">$C5*$E5*$H$39</f>
        <v>183796.17933276226</v>
      </c>
      <c r="M5" s="44">
        <f t="shared" ref="M5:M28" si="7">$C5*$F5*$H$40</f>
        <v>75222.318524311937</v>
      </c>
      <c r="N5" s="44">
        <f t="shared" ref="N5:N28" si="8">$C5*$G5*$H$41</f>
        <v>52038.179190146358</v>
      </c>
      <c r="O5" s="45">
        <f t="shared" ref="O5:O28" si="9">$C5*$H5*$H$42</f>
        <v>9723.6878907383561</v>
      </c>
      <c r="Q5" s="38">
        <v>2017</v>
      </c>
      <c r="R5" s="46">
        <f>K5</f>
        <v>727973.28409235762</v>
      </c>
      <c r="S5" s="46">
        <f t="shared" ref="S5:V5" si="10">L5</f>
        <v>183796.17933276226</v>
      </c>
      <c r="T5" s="46">
        <f t="shared" si="10"/>
        <v>75222.318524311937</v>
      </c>
      <c r="U5" s="46">
        <f t="shared" si="10"/>
        <v>52038.179190146358</v>
      </c>
      <c r="V5" s="47">
        <f t="shared" si="10"/>
        <v>9723.6878907383561</v>
      </c>
      <c r="X5" s="38">
        <v>2017</v>
      </c>
      <c r="Y5" s="43">
        <f>K5-R5</f>
        <v>0</v>
      </c>
      <c r="Z5" s="43">
        <f t="shared" ref="Z5:AC5" si="11">L5-S5</f>
        <v>0</v>
      </c>
      <c r="AA5" s="43">
        <f t="shared" si="11"/>
        <v>0</v>
      </c>
      <c r="AB5" s="43">
        <f t="shared" si="11"/>
        <v>0</v>
      </c>
      <c r="AC5" s="48">
        <f t="shared" si="11"/>
        <v>0</v>
      </c>
      <c r="AD5" s="76">
        <f>SUM(Y5:AC5)</f>
        <v>0</v>
      </c>
    </row>
    <row r="6" spans="2:30" x14ac:dyDescent="0.3">
      <c r="B6" s="50">
        <v>2018</v>
      </c>
      <c r="C6" s="51">
        <f>'Traffic – VMT'!Q5/1000000</f>
        <v>2.6726066500000001</v>
      </c>
      <c r="D6" s="52">
        <f t="shared" si="0"/>
        <v>2.5999999999999999E-2</v>
      </c>
      <c r="E6" s="53">
        <f t="shared" si="1"/>
        <v>0.1229</v>
      </c>
      <c r="F6" s="53">
        <f t="shared" si="2"/>
        <v>0.13739999999999999</v>
      </c>
      <c r="G6" s="53">
        <f t="shared" si="3"/>
        <v>0.14929999999999999</v>
      </c>
      <c r="H6" s="54">
        <f t="shared" si="4"/>
        <v>0.5635</v>
      </c>
      <c r="J6" s="50">
        <v>2018</v>
      </c>
      <c r="K6" s="55">
        <f t="shared" si="5"/>
        <v>738892.88335374289</v>
      </c>
      <c r="L6" s="56">
        <f t="shared" si="6"/>
        <v>186553.1220227537</v>
      </c>
      <c r="M6" s="56">
        <f t="shared" si="7"/>
        <v>76350.653302176623</v>
      </c>
      <c r="N6" s="56">
        <f t="shared" si="8"/>
        <v>52818.751877998555</v>
      </c>
      <c r="O6" s="57">
        <f t="shared" si="9"/>
        <v>9869.5432090994327</v>
      </c>
      <c r="Q6" s="50">
        <v>2018</v>
      </c>
      <c r="R6" s="58">
        <f t="shared" ref="R6:R8" si="12">K6</f>
        <v>738892.88335374289</v>
      </c>
      <c r="S6" s="58">
        <f t="shared" ref="S6:S8" si="13">L6</f>
        <v>186553.1220227537</v>
      </c>
      <c r="T6" s="58">
        <f t="shared" ref="T6:T8" si="14">M6</f>
        <v>76350.653302176623</v>
      </c>
      <c r="U6" s="58">
        <f t="shared" ref="U6:U8" si="15">N6</f>
        <v>52818.751877998555</v>
      </c>
      <c r="V6" s="59">
        <f t="shared" ref="V6:V8" si="16">O6</f>
        <v>9869.5432090994327</v>
      </c>
      <c r="X6" s="50">
        <v>2018</v>
      </c>
      <c r="Y6" s="55">
        <f t="shared" ref="Y6:Y28" si="17">K6-R6</f>
        <v>0</v>
      </c>
      <c r="Z6" s="55">
        <f t="shared" ref="Z6:Z28" si="18">L6-S6</f>
        <v>0</v>
      </c>
      <c r="AA6" s="55">
        <f t="shared" ref="AA6:AA28" si="19">M6-T6</f>
        <v>0</v>
      </c>
      <c r="AB6" s="55">
        <f t="shared" ref="AB6:AB28" si="20">N6-U6</f>
        <v>0</v>
      </c>
      <c r="AC6" s="60">
        <f t="shared" ref="AC6:AC28" si="21">O6-V6</f>
        <v>0</v>
      </c>
      <c r="AD6" s="77">
        <f t="shared" ref="AD6:AD28" si="22">SUM(Y6:AC6)</f>
        <v>0</v>
      </c>
    </row>
    <row r="7" spans="2:30" x14ac:dyDescent="0.3">
      <c r="B7" s="50">
        <v>2019</v>
      </c>
      <c r="C7" s="51">
        <f>'Traffic – VMT'!Q6/1000000</f>
        <v>2.7126957497499991</v>
      </c>
      <c r="D7" s="52">
        <f t="shared" si="0"/>
        <v>2.5999999999999999E-2</v>
      </c>
      <c r="E7" s="53">
        <f t="shared" si="1"/>
        <v>0.1229</v>
      </c>
      <c r="F7" s="53">
        <f t="shared" si="2"/>
        <v>0.13739999999999999</v>
      </c>
      <c r="G7" s="53">
        <f t="shared" si="3"/>
        <v>0.14929999999999999</v>
      </c>
      <c r="H7" s="54">
        <f t="shared" si="4"/>
        <v>0.5635</v>
      </c>
      <c r="J7" s="50">
        <v>2019</v>
      </c>
      <c r="K7" s="55">
        <f t="shared" si="5"/>
        <v>749976.27660404879</v>
      </c>
      <c r="L7" s="56">
        <f t="shared" si="6"/>
        <v>189351.41885309495</v>
      </c>
      <c r="M7" s="56">
        <f t="shared" si="7"/>
        <v>77495.913101709244</v>
      </c>
      <c r="N7" s="56">
        <f t="shared" si="8"/>
        <v>53611.033156168516</v>
      </c>
      <c r="O7" s="57">
        <f t="shared" si="9"/>
        <v>10017.586357235919</v>
      </c>
      <c r="Q7" s="50">
        <v>2019</v>
      </c>
      <c r="R7" s="58">
        <f t="shared" si="12"/>
        <v>749976.27660404879</v>
      </c>
      <c r="S7" s="58">
        <f t="shared" si="13"/>
        <v>189351.41885309495</v>
      </c>
      <c r="T7" s="58">
        <f t="shared" si="14"/>
        <v>77495.913101709244</v>
      </c>
      <c r="U7" s="58">
        <f t="shared" si="15"/>
        <v>53611.033156168516</v>
      </c>
      <c r="V7" s="59">
        <f t="shared" si="16"/>
        <v>10017.586357235919</v>
      </c>
      <c r="X7" s="50">
        <v>2019</v>
      </c>
      <c r="Y7" s="55">
        <f t="shared" si="17"/>
        <v>0</v>
      </c>
      <c r="Z7" s="55">
        <f t="shared" si="18"/>
        <v>0</v>
      </c>
      <c r="AA7" s="55">
        <f t="shared" si="19"/>
        <v>0</v>
      </c>
      <c r="AB7" s="55">
        <f t="shared" si="20"/>
        <v>0</v>
      </c>
      <c r="AC7" s="60">
        <f t="shared" si="21"/>
        <v>0</v>
      </c>
      <c r="AD7" s="77">
        <f t="shared" si="22"/>
        <v>0</v>
      </c>
    </row>
    <row r="8" spans="2:30" x14ac:dyDescent="0.3">
      <c r="B8" s="50">
        <v>2020</v>
      </c>
      <c r="C8" s="51">
        <f>'Traffic – VMT'!Q7/1000000</f>
        <v>2.7533861859962494</v>
      </c>
      <c r="D8" s="52">
        <f t="shared" si="0"/>
        <v>2.5999999999999999E-2</v>
      </c>
      <c r="E8" s="53">
        <f t="shared" si="1"/>
        <v>0.1229</v>
      </c>
      <c r="F8" s="53">
        <f t="shared" si="2"/>
        <v>0.13739999999999999</v>
      </c>
      <c r="G8" s="53">
        <f t="shared" si="3"/>
        <v>0.14929999999999999</v>
      </c>
      <c r="H8" s="54">
        <f t="shared" si="4"/>
        <v>0.5635</v>
      </c>
      <c r="J8" s="50">
        <v>2020</v>
      </c>
      <c r="K8" s="55">
        <f t="shared" si="5"/>
        <v>761225.92075310962</v>
      </c>
      <c r="L8" s="56">
        <f t="shared" si="6"/>
        <v>192191.6901358914</v>
      </c>
      <c r="M8" s="56">
        <f t="shared" si="7"/>
        <v>78658.3517982349</v>
      </c>
      <c r="N8" s="56">
        <f t="shared" si="8"/>
        <v>54415.198653511048</v>
      </c>
      <c r="O8" s="57">
        <f t="shared" si="9"/>
        <v>10167.850152594459</v>
      </c>
      <c r="Q8" s="50">
        <v>2020</v>
      </c>
      <c r="R8" s="58">
        <f t="shared" si="12"/>
        <v>761225.92075310962</v>
      </c>
      <c r="S8" s="58">
        <f t="shared" si="13"/>
        <v>192191.6901358914</v>
      </c>
      <c r="T8" s="58">
        <f t="shared" si="14"/>
        <v>78658.3517982349</v>
      </c>
      <c r="U8" s="58">
        <f t="shared" si="15"/>
        <v>54415.198653511048</v>
      </c>
      <c r="V8" s="59">
        <f t="shared" si="16"/>
        <v>10167.850152594459</v>
      </c>
      <c r="X8" s="50">
        <v>2020</v>
      </c>
      <c r="Y8" s="55">
        <f t="shared" si="17"/>
        <v>0</v>
      </c>
      <c r="Z8" s="55">
        <f t="shared" si="18"/>
        <v>0</v>
      </c>
      <c r="AA8" s="55">
        <f t="shared" si="19"/>
        <v>0</v>
      </c>
      <c r="AB8" s="55">
        <f t="shared" si="20"/>
        <v>0</v>
      </c>
      <c r="AC8" s="60">
        <f t="shared" si="21"/>
        <v>0</v>
      </c>
      <c r="AD8" s="77">
        <f t="shared" si="22"/>
        <v>0</v>
      </c>
    </row>
    <row r="9" spans="2:30" x14ac:dyDescent="0.3">
      <c r="B9" s="50">
        <v>2021</v>
      </c>
      <c r="C9" s="51">
        <f>'Traffic – VMT'!Q8/1000000</f>
        <v>2.794686978786193</v>
      </c>
      <c r="D9" s="52">
        <f t="shared" si="0"/>
        <v>2.5999999999999999E-2</v>
      </c>
      <c r="E9" s="53">
        <f t="shared" si="1"/>
        <v>0.1229</v>
      </c>
      <c r="F9" s="53">
        <f t="shared" si="2"/>
        <v>0.13739999999999999</v>
      </c>
      <c r="G9" s="53">
        <f t="shared" si="3"/>
        <v>0.14929999999999999</v>
      </c>
      <c r="H9" s="54">
        <f t="shared" si="4"/>
        <v>0.5635</v>
      </c>
      <c r="J9" s="50">
        <v>2021</v>
      </c>
      <c r="K9" s="55">
        <f t="shared" si="5"/>
        <v>772644.30956440629</v>
      </c>
      <c r="L9" s="56">
        <f t="shared" si="6"/>
        <v>195074.56548792977</v>
      </c>
      <c r="M9" s="56">
        <f t="shared" si="7"/>
        <v>79838.227075208415</v>
      </c>
      <c r="N9" s="56">
        <f t="shared" si="8"/>
        <v>55231.426633313713</v>
      </c>
      <c r="O9" s="57">
        <f t="shared" si="9"/>
        <v>10320.367904883376</v>
      </c>
      <c r="Q9" s="50">
        <v>2021</v>
      </c>
      <c r="R9" s="55">
        <f t="shared" ref="R9:R28" si="23">K9*$N$42</f>
        <v>594549.79620981065</v>
      </c>
      <c r="S9" s="55">
        <f t="shared" ref="S9:S28" si="24">L9*$N$42</f>
        <v>150109.87814296194</v>
      </c>
      <c r="T9" s="55">
        <f t="shared" ref="T9:T28" si="25">M9*$N$42</f>
        <v>61435.515734372872</v>
      </c>
      <c r="U9" s="55">
        <f t="shared" ref="U9:U28" si="26">N9*$N$42</f>
        <v>42500.5827943349</v>
      </c>
      <c r="V9" s="60">
        <f t="shared" ref="V9:V28" si="27">O9*$N$42</f>
        <v>7941.5231028077578</v>
      </c>
      <c r="X9" s="50">
        <v>2021</v>
      </c>
      <c r="Y9" s="55">
        <f t="shared" si="17"/>
        <v>178094.51335459563</v>
      </c>
      <c r="Z9" s="55">
        <f t="shared" si="18"/>
        <v>44964.687344967824</v>
      </c>
      <c r="AA9" s="55">
        <f t="shared" si="19"/>
        <v>18402.711340835544</v>
      </c>
      <c r="AB9" s="55">
        <f t="shared" si="20"/>
        <v>12730.843838978813</v>
      </c>
      <c r="AC9" s="60">
        <f t="shared" si="21"/>
        <v>2378.8448020756186</v>
      </c>
      <c r="AD9" s="77">
        <f t="shared" si="22"/>
        <v>256571.60068145345</v>
      </c>
    </row>
    <row r="10" spans="2:30" x14ac:dyDescent="0.3">
      <c r="B10" s="50">
        <v>2022</v>
      </c>
      <c r="C10" s="51">
        <f>'Traffic – VMT'!Q9/1000000</f>
        <v>2.8366072834679854</v>
      </c>
      <c r="D10" s="52">
        <f t="shared" si="0"/>
        <v>2.5999999999999999E-2</v>
      </c>
      <c r="E10" s="53">
        <f t="shared" si="1"/>
        <v>0.1229</v>
      </c>
      <c r="F10" s="53">
        <f t="shared" si="2"/>
        <v>0.13739999999999999</v>
      </c>
      <c r="G10" s="53">
        <f t="shared" si="3"/>
        <v>0.14929999999999999</v>
      </c>
      <c r="H10" s="54">
        <f t="shared" si="4"/>
        <v>0.5635</v>
      </c>
      <c r="J10" s="50">
        <v>2022</v>
      </c>
      <c r="K10" s="55">
        <f t="shared" si="5"/>
        <v>784233.97420787218</v>
      </c>
      <c r="L10" s="56">
        <f t="shared" si="6"/>
        <v>198000.68397024868</v>
      </c>
      <c r="M10" s="56">
        <f t="shared" si="7"/>
        <v>81035.800481336526</v>
      </c>
      <c r="N10" s="56">
        <f t="shared" si="8"/>
        <v>56059.898032813413</v>
      </c>
      <c r="O10" s="57">
        <f t="shared" si="9"/>
        <v>10475.173423456625</v>
      </c>
      <c r="Q10" s="50">
        <v>2022</v>
      </c>
      <c r="R10" s="55">
        <f t="shared" si="23"/>
        <v>603468.04315295757</v>
      </c>
      <c r="S10" s="55">
        <f t="shared" si="24"/>
        <v>152361.52631510634</v>
      </c>
      <c r="T10" s="55">
        <f t="shared" si="25"/>
        <v>62357.04847038845</v>
      </c>
      <c r="U10" s="55">
        <f t="shared" si="26"/>
        <v>43138.091536249922</v>
      </c>
      <c r="V10" s="60">
        <f t="shared" si="27"/>
        <v>8060.6459493498724</v>
      </c>
      <c r="X10" s="50">
        <v>2022</v>
      </c>
      <c r="Y10" s="55">
        <f t="shared" si="17"/>
        <v>180765.9310549146</v>
      </c>
      <c r="Z10" s="55">
        <f t="shared" si="18"/>
        <v>45639.157655142335</v>
      </c>
      <c r="AA10" s="55">
        <f t="shared" si="19"/>
        <v>18678.752010948076</v>
      </c>
      <c r="AB10" s="55">
        <f t="shared" si="20"/>
        <v>12921.806496563491</v>
      </c>
      <c r="AC10" s="60">
        <f t="shared" si="21"/>
        <v>2414.5274741067524</v>
      </c>
      <c r="AD10" s="77">
        <f t="shared" si="22"/>
        <v>260420.17469167526</v>
      </c>
    </row>
    <row r="11" spans="2:30" x14ac:dyDescent="0.3">
      <c r="B11" s="50">
        <v>2023</v>
      </c>
      <c r="C11" s="51">
        <f>'Traffic – VMT'!Q10/1000000</f>
        <v>2.8791563927200046</v>
      </c>
      <c r="D11" s="52">
        <f t="shared" si="0"/>
        <v>2.5999999999999999E-2</v>
      </c>
      <c r="E11" s="53">
        <f t="shared" si="1"/>
        <v>0.1229</v>
      </c>
      <c r="F11" s="53">
        <f t="shared" si="2"/>
        <v>0.13739999999999999</v>
      </c>
      <c r="G11" s="53">
        <f t="shared" si="3"/>
        <v>0.14929999999999999</v>
      </c>
      <c r="H11" s="54">
        <f t="shared" si="4"/>
        <v>0.5635</v>
      </c>
      <c r="J11" s="50">
        <v>2023</v>
      </c>
      <c r="K11" s="55">
        <f t="shared" si="5"/>
        <v>795997.48382099008</v>
      </c>
      <c r="L11" s="56">
        <f t="shared" si="6"/>
        <v>200970.69422980235</v>
      </c>
      <c r="M11" s="56">
        <f t="shared" si="7"/>
        <v>82251.337488556543</v>
      </c>
      <c r="N11" s="56">
        <f t="shared" si="8"/>
        <v>56900.796503305595</v>
      </c>
      <c r="O11" s="57">
        <f t="shared" si="9"/>
        <v>10632.301024808472</v>
      </c>
      <c r="Q11" s="50">
        <v>2023</v>
      </c>
      <c r="R11" s="55">
        <f t="shared" si="23"/>
        <v>612520.06380025181</v>
      </c>
      <c r="S11" s="55">
        <f t="shared" si="24"/>
        <v>154646.94920983291</v>
      </c>
      <c r="T11" s="55">
        <f t="shared" si="25"/>
        <v>63292.404197444259</v>
      </c>
      <c r="U11" s="55">
        <f t="shared" si="26"/>
        <v>43785.162909293656</v>
      </c>
      <c r="V11" s="60">
        <f t="shared" si="27"/>
        <v>8181.5556385901191</v>
      </c>
      <c r="X11" s="50">
        <v>2023</v>
      </c>
      <c r="Y11" s="55">
        <f t="shared" si="17"/>
        <v>183477.42002073827</v>
      </c>
      <c r="Z11" s="55">
        <f t="shared" si="18"/>
        <v>46323.745019969443</v>
      </c>
      <c r="AA11" s="55">
        <f t="shared" si="19"/>
        <v>18958.933291112284</v>
      </c>
      <c r="AB11" s="55">
        <f t="shared" si="20"/>
        <v>13115.633594011939</v>
      </c>
      <c r="AC11" s="60">
        <f t="shared" si="21"/>
        <v>2450.7453862183529</v>
      </c>
      <c r="AD11" s="77">
        <f t="shared" si="22"/>
        <v>264326.47731205029</v>
      </c>
    </row>
    <row r="12" spans="2:30" x14ac:dyDescent="0.3">
      <c r="B12" s="50">
        <v>2024</v>
      </c>
      <c r="C12" s="51">
        <f>'Traffic – VMT'!Q11/1000000</f>
        <v>2.9223437386108042</v>
      </c>
      <c r="D12" s="52">
        <f t="shared" si="0"/>
        <v>2.5999999999999999E-2</v>
      </c>
      <c r="E12" s="53">
        <f t="shared" si="1"/>
        <v>0.1229</v>
      </c>
      <c r="F12" s="53">
        <f t="shared" si="2"/>
        <v>0.13739999999999999</v>
      </c>
      <c r="G12" s="53">
        <f t="shared" si="3"/>
        <v>0.14929999999999999</v>
      </c>
      <c r="H12" s="54">
        <f t="shared" si="4"/>
        <v>0.5635</v>
      </c>
      <c r="J12" s="50">
        <v>2024</v>
      </c>
      <c r="K12" s="55">
        <f t="shared" si="5"/>
        <v>807937.4460783049</v>
      </c>
      <c r="L12" s="56">
        <f t="shared" si="6"/>
        <v>203985.25464324935</v>
      </c>
      <c r="M12" s="56">
        <f t="shared" si="7"/>
        <v>83485.107550884888</v>
      </c>
      <c r="N12" s="56">
        <f t="shared" si="8"/>
        <v>57754.308450855169</v>
      </c>
      <c r="O12" s="57">
        <f t="shared" si="9"/>
        <v>10791.785540180599</v>
      </c>
      <c r="Q12" s="50">
        <v>2024</v>
      </c>
      <c r="R12" s="55">
        <f t="shared" si="23"/>
        <v>621707.86475725553</v>
      </c>
      <c r="S12" s="55">
        <f t="shared" si="24"/>
        <v>156966.65344798038</v>
      </c>
      <c r="T12" s="55">
        <f t="shared" si="25"/>
        <v>64241.79026040592</v>
      </c>
      <c r="U12" s="55">
        <f t="shared" si="26"/>
        <v>44441.940352933052</v>
      </c>
      <c r="V12" s="60">
        <f t="shared" si="27"/>
        <v>8304.27897316897</v>
      </c>
      <c r="X12" s="50">
        <v>2024</v>
      </c>
      <c r="Y12" s="55">
        <f t="shared" si="17"/>
        <v>186229.58132104937</v>
      </c>
      <c r="Z12" s="55">
        <f t="shared" si="18"/>
        <v>47018.601195268973</v>
      </c>
      <c r="AA12" s="55">
        <f t="shared" si="19"/>
        <v>19243.317290478968</v>
      </c>
      <c r="AB12" s="55">
        <f t="shared" si="20"/>
        <v>13312.368097922117</v>
      </c>
      <c r="AC12" s="60">
        <f t="shared" si="21"/>
        <v>2487.5065670116292</v>
      </c>
      <c r="AD12" s="77">
        <f t="shared" si="22"/>
        <v>268291.37447173108</v>
      </c>
    </row>
    <row r="13" spans="2:30" x14ac:dyDescent="0.3">
      <c r="B13" s="50">
        <v>2025</v>
      </c>
      <c r="C13" s="51">
        <f>'Traffic – VMT'!Q12/1000000</f>
        <v>3.2585438946899665</v>
      </c>
      <c r="D13" s="52">
        <f t="shared" si="0"/>
        <v>2.5999999999999999E-2</v>
      </c>
      <c r="E13" s="53">
        <f t="shared" si="1"/>
        <v>0.1229</v>
      </c>
      <c r="F13" s="53">
        <f t="shared" si="2"/>
        <v>0.13739999999999999</v>
      </c>
      <c r="G13" s="53">
        <f t="shared" si="3"/>
        <v>0.14929999999999999</v>
      </c>
      <c r="H13" s="54">
        <f t="shared" si="4"/>
        <v>0.5635</v>
      </c>
      <c r="J13" s="50">
        <v>2025</v>
      </c>
      <c r="K13" s="55">
        <f t="shared" si="5"/>
        <v>900886.36645508779</v>
      </c>
      <c r="L13" s="56">
        <f t="shared" si="6"/>
        <v>227452.67688479202</v>
      </c>
      <c r="M13" s="56">
        <f t="shared" si="7"/>
        <v>93089.626628519371</v>
      </c>
      <c r="N13" s="56">
        <f t="shared" si="8"/>
        <v>64398.635488389737</v>
      </c>
      <c r="O13" s="57">
        <f t="shared" si="9"/>
        <v>12033.323260416857</v>
      </c>
      <c r="Q13" s="50">
        <v>2025</v>
      </c>
      <c r="R13" s="55">
        <f t="shared" si="23"/>
        <v>693232.05898719002</v>
      </c>
      <c r="S13" s="55">
        <f t="shared" si="24"/>
        <v>175024.83486284746</v>
      </c>
      <c r="T13" s="55">
        <f t="shared" si="25"/>
        <v>71632.467690645659</v>
      </c>
      <c r="U13" s="55">
        <f t="shared" si="26"/>
        <v>49554.750008315903</v>
      </c>
      <c r="V13" s="60">
        <f t="shared" si="27"/>
        <v>9259.6422488907701</v>
      </c>
      <c r="X13" s="50">
        <v>2025</v>
      </c>
      <c r="Y13" s="55">
        <f t="shared" si="17"/>
        <v>207654.30746789777</v>
      </c>
      <c r="Z13" s="55">
        <f t="shared" si="18"/>
        <v>52427.842021944554</v>
      </c>
      <c r="AA13" s="55">
        <f t="shared" si="19"/>
        <v>21457.158937873712</v>
      </c>
      <c r="AB13" s="55">
        <f t="shared" si="20"/>
        <v>14843.885480073834</v>
      </c>
      <c r="AC13" s="60">
        <f t="shared" si="21"/>
        <v>2773.6810115260869</v>
      </c>
      <c r="AD13" s="77">
        <f t="shared" si="22"/>
        <v>299156.87491931597</v>
      </c>
    </row>
    <row r="14" spans="2:30" x14ac:dyDescent="0.3">
      <c r="B14" s="50">
        <v>2026</v>
      </c>
      <c r="C14" s="51">
        <f>'Traffic – VMT'!Q13/1000000</f>
        <v>3.3074220531103151</v>
      </c>
      <c r="D14" s="52">
        <f t="shared" si="0"/>
        <v>2.5999999999999999E-2</v>
      </c>
      <c r="E14" s="53">
        <f t="shared" si="1"/>
        <v>0.1229</v>
      </c>
      <c r="F14" s="53">
        <f t="shared" si="2"/>
        <v>0.13739999999999999</v>
      </c>
      <c r="G14" s="53">
        <f t="shared" si="3"/>
        <v>0.14929999999999999</v>
      </c>
      <c r="H14" s="54">
        <f t="shared" si="4"/>
        <v>0.5635</v>
      </c>
      <c r="J14" s="50">
        <v>2026</v>
      </c>
      <c r="K14" s="55">
        <f t="shared" si="5"/>
        <v>914399.66195191385</v>
      </c>
      <c r="L14" s="56">
        <f t="shared" si="6"/>
        <v>230864.46703806383</v>
      </c>
      <c r="M14" s="56">
        <f t="shared" si="7"/>
        <v>94485.971027947147</v>
      </c>
      <c r="N14" s="56">
        <f t="shared" si="8"/>
        <v>65364.615020715559</v>
      </c>
      <c r="O14" s="57">
        <f t="shared" si="9"/>
        <v>12213.823109323108</v>
      </c>
      <c r="Q14" s="50">
        <v>2026</v>
      </c>
      <c r="R14" s="55">
        <f t="shared" si="23"/>
        <v>703630.53987199767</v>
      </c>
      <c r="S14" s="55">
        <f t="shared" si="24"/>
        <v>177650.2073857901</v>
      </c>
      <c r="T14" s="55">
        <f t="shared" si="25"/>
        <v>72706.95470600533</v>
      </c>
      <c r="U14" s="55">
        <f t="shared" si="26"/>
        <v>50298.071258440621</v>
      </c>
      <c r="V14" s="60">
        <f t="shared" si="27"/>
        <v>9398.536882624132</v>
      </c>
      <c r="X14" s="50">
        <v>2026</v>
      </c>
      <c r="Y14" s="55">
        <f t="shared" si="17"/>
        <v>210769.12207991618</v>
      </c>
      <c r="Z14" s="55">
        <f t="shared" si="18"/>
        <v>53214.259652273729</v>
      </c>
      <c r="AA14" s="55">
        <f t="shared" si="19"/>
        <v>21779.016321941817</v>
      </c>
      <c r="AB14" s="55">
        <f t="shared" si="20"/>
        <v>15066.543762274938</v>
      </c>
      <c r="AC14" s="60">
        <f t="shared" si="21"/>
        <v>2815.286226698976</v>
      </c>
      <c r="AD14" s="77">
        <f t="shared" si="22"/>
        <v>303644.22804310563</v>
      </c>
    </row>
    <row r="15" spans="2:30" x14ac:dyDescent="0.3">
      <c r="B15" s="50">
        <v>2027</v>
      </c>
      <c r="C15" s="51">
        <f>'Traffic – VMT'!Q14/1000000</f>
        <v>3.3570333839069693</v>
      </c>
      <c r="D15" s="52">
        <f t="shared" si="0"/>
        <v>2.5999999999999999E-2</v>
      </c>
      <c r="E15" s="53">
        <f t="shared" si="1"/>
        <v>0.1229</v>
      </c>
      <c r="F15" s="53">
        <f t="shared" si="2"/>
        <v>0.13739999999999999</v>
      </c>
      <c r="G15" s="53">
        <f t="shared" si="3"/>
        <v>0.14929999999999999</v>
      </c>
      <c r="H15" s="54">
        <f t="shared" si="4"/>
        <v>0.5635</v>
      </c>
      <c r="J15" s="50">
        <v>2027</v>
      </c>
      <c r="K15" s="55">
        <f t="shared" si="5"/>
        <v>928115.65688119235</v>
      </c>
      <c r="L15" s="56">
        <f t="shared" si="6"/>
        <v>234327.43404363474</v>
      </c>
      <c r="M15" s="56">
        <f t="shared" si="7"/>
        <v>95903.260593366329</v>
      </c>
      <c r="N15" s="56">
        <f t="shared" si="8"/>
        <v>66345.084246026279</v>
      </c>
      <c r="O15" s="57">
        <f t="shared" si="9"/>
        <v>12397.030455962951</v>
      </c>
      <c r="Q15" s="50">
        <v>2027</v>
      </c>
      <c r="R15" s="55">
        <f t="shared" si="23"/>
        <v>714184.99797007744</v>
      </c>
      <c r="S15" s="55">
        <f t="shared" si="24"/>
        <v>180314.96049657691</v>
      </c>
      <c r="T15" s="55">
        <f t="shared" si="25"/>
        <v>73797.55902659538</v>
      </c>
      <c r="U15" s="55">
        <f t="shared" si="26"/>
        <v>51052.54232731722</v>
      </c>
      <c r="V15" s="60">
        <f t="shared" si="27"/>
        <v>9539.5149358634899</v>
      </c>
      <c r="X15" s="50">
        <v>2027</v>
      </c>
      <c r="Y15" s="55">
        <f t="shared" si="17"/>
        <v>213930.65891111491</v>
      </c>
      <c r="Z15" s="55">
        <f t="shared" si="18"/>
        <v>54012.473547057831</v>
      </c>
      <c r="AA15" s="55">
        <f t="shared" si="19"/>
        <v>22105.701566770949</v>
      </c>
      <c r="AB15" s="55">
        <f t="shared" si="20"/>
        <v>15292.541918709059</v>
      </c>
      <c r="AC15" s="60">
        <f t="shared" si="21"/>
        <v>2857.5155200994614</v>
      </c>
      <c r="AD15" s="77">
        <f t="shared" si="22"/>
        <v>308198.8914637522</v>
      </c>
    </row>
    <row r="16" spans="2:30" x14ac:dyDescent="0.3">
      <c r="B16" s="50">
        <v>2028</v>
      </c>
      <c r="C16" s="51">
        <f>'Traffic – VMT'!Q15/1000000</f>
        <v>3.4073888846655738</v>
      </c>
      <c r="D16" s="52">
        <f t="shared" si="0"/>
        <v>2.5999999999999999E-2</v>
      </c>
      <c r="E16" s="53">
        <f t="shared" si="1"/>
        <v>0.1229</v>
      </c>
      <c r="F16" s="53">
        <f t="shared" si="2"/>
        <v>0.13739999999999999</v>
      </c>
      <c r="G16" s="53">
        <f t="shared" si="3"/>
        <v>0.14929999999999999</v>
      </c>
      <c r="H16" s="54">
        <f t="shared" si="4"/>
        <v>0.5635</v>
      </c>
      <c r="J16" s="50">
        <v>2028</v>
      </c>
      <c r="K16" s="55">
        <f t="shared" si="5"/>
        <v>942037.39173441031</v>
      </c>
      <c r="L16" s="56">
        <f t="shared" si="6"/>
        <v>237842.34555428926</v>
      </c>
      <c r="M16" s="56">
        <f t="shared" si="7"/>
        <v>97341.809502266828</v>
      </c>
      <c r="N16" s="56">
        <f t="shared" si="8"/>
        <v>67340.260509716667</v>
      </c>
      <c r="O16" s="57">
        <f t="shared" si="9"/>
        <v>12582.985912802396</v>
      </c>
      <c r="Q16" s="50">
        <v>2028</v>
      </c>
      <c r="R16" s="55">
        <f t="shared" si="23"/>
        <v>724897.77293962869</v>
      </c>
      <c r="S16" s="55">
        <f t="shared" si="24"/>
        <v>183019.68490402558</v>
      </c>
      <c r="T16" s="55">
        <f t="shared" si="25"/>
        <v>74904.522411994316</v>
      </c>
      <c r="U16" s="55">
        <f t="shared" si="26"/>
        <v>51818.330462226972</v>
      </c>
      <c r="V16" s="60">
        <f t="shared" si="27"/>
        <v>9682.6076599014432</v>
      </c>
      <c r="X16" s="50">
        <v>2028</v>
      </c>
      <c r="Y16" s="55">
        <f t="shared" si="17"/>
        <v>217139.61879478162</v>
      </c>
      <c r="Z16" s="55">
        <f t="shared" si="18"/>
        <v>54822.660650263686</v>
      </c>
      <c r="AA16" s="55">
        <f t="shared" si="19"/>
        <v>22437.287090272512</v>
      </c>
      <c r="AB16" s="55">
        <f t="shared" si="20"/>
        <v>15521.930047489695</v>
      </c>
      <c r="AC16" s="60">
        <f t="shared" si="21"/>
        <v>2900.3782529009532</v>
      </c>
      <c r="AD16" s="77">
        <f t="shared" si="22"/>
        <v>312821.87483570847</v>
      </c>
    </row>
    <row r="17" spans="2:31" x14ac:dyDescent="0.3">
      <c r="B17" s="50">
        <v>2029</v>
      </c>
      <c r="C17" s="51">
        <f>'Traffic – VMT'!Q16/1000000</f>
        <v>3.458499717935557</v>
      </c>
      <c r="D17" s="52">
        <f t="shared" si="0"/>
        <v>2.5999999999999999E-2</v>
      </c>
      <c r="E17" s="53">
        <f t="shared" si="1"/>
        <v>0.1229</v>
      </c>
      <c r="F17" s="53">
        <f t="shared" si="2"/>
        <v>0.13739999999999999</v>
      </c>
      <c r="G17" s="53">
        <f t="shared" si="3"/>
        <v>0.14929999999999999</v>
      </c>
      <c r="H17" s="54">
        <f t="shared" si="4"/>
        <v>0.5635</v>
      </c>
      <c r="J17" s="50">
        <v>2029</v>
      </c>
      <c r="K17" s="55">
        <f t="shared" si="5"/>
        <v>956167.95261042635</v>
      </c>
      <c r="L17" s="56">
        <f t="shared" si="6"/>
        <v>241409.98073760359</v>
      </c>
      <c r="M17" s="56">
        <f t="shared" si="7"/>
        <v>98801.936644800808</v>
      </c>
      <c r="N17" s="56">
        <f t="shared" si="8"/>
        <v>68350.36441736242</v>
      </c>
      <c r="O17" s="57">
        <f t="shared" si="9"/>
        <v>12771.730701494429</v>
      </c>
      <c r="Q17" s="50">
        <v>2029</v>
      </c>
      <c r="R17" s="55">
        <f t="shared" si="23"/>
        <v>735771.23953372298</v>
      </c>
      <c r="S17" s="55">
        <f t="shared" si="24"/>
        <v>185764.98017758597</v>
      </c>
      <c r="T17" s="55">
        <f t="shared" si="25"/>
        <v>76028.090248174223</v>
      </c>
      <c r="U17" s="55">
        <f t="shared" si="26"/>
        <v>52595.605419160376</v>
      </c>
      <c r="V17" s="60">
        <f t="shared" si="27"/>
        <v>9827.8467747999621</v>
      </c>
      <c r="X17" s="50">
        <v>2029</v>
      </c>
      <c r="Y17" s="55">
        <f t="shared" si="17"/>
        <v>220396.71307670337</v>
      </c>
      <c r="Z17" s="55">
        <f t="shared" si="18"/>
        <v>55645.000560017623</v>
      </c>
      <c r="AA17" s="55">
        <f t="shared" si="19"/>
        <v>22773.846396626584</v>
      </c>
      <c r="AB17" s="55">
        <f t="shared" si="20"/>
        <v>15754.758998202044</v>
      </c>
      <c r="AC17" s="60">
        <f t="shared" si="21"/>
        <v>2943.8839266944669</v>
      </c>
      <c r="AD17" s="77">
        <f t="shared" si="22"/>
        <v>317514.20295824407</v>
      </c>
    </row>
    <row r="18" spans="2:31" x14ac:dyDescent="0.3">
      <c r="B18" s="50">
        <v>2030</v>
      </c>
      <c r="C18" s="51">
        <f>'Traffic – VMT'!Q17/1000000</f>
        <v>3.5103772137045901</v>
      </c>
      <c r="D18" s="52">
        <f t="shared" si="0"/>
        <v>2.5999999999999999E-2</v>
      </c>
      <c r="E18" s="53">
        <f t="shared" si="1"/>
        <v>0.1229</v>
      </c>
      <c r="F18" s="53">
        <f t="shared" si="2"/>
        <v>0.13739999999999999</v>
      </c>
      <c r="G18" s="53">
        <f t="shared" si="3"/>
        <v>0.14929999999999999</v>
      </c>
      <c r="H18" s="54">
        <f t="shared" si="4"/>
        <v>0.5635</v>
      </c>
      <c r="J18" s="50">
        <v>2030</v>
      </c>
      <c r="K18" s="55">
        <f t="shared" si="5"/>
        <v>970510.47189958266</v>
      </c>
      <c r="L18" s="56">
        <f t="shared" si="6"/>
        <v>245031.13044866762</v>
      </c>
      <c r="M18" s="56">
        <f t="shared" si="7"/>
        <v>100283.96569447282</v>
      </c>
      <c r="N18" s="56">
        <f t="shared" si="8"/>
        <v>69375.619883622843</v>
      </c>
      <c r="O18" s="57">
        <f t="shared" si="9"/>
        <v>12963.306662016845</v>
      </c>
      <c r="Q18" s="50">
        <v>2030</v>
      </c>
      <c r="R18" s="55">
        <f t="shared" si="23"/>
        <v>746807.80812672887</v>
      </c>
      <c r="S18" s="55">
        <f t="shared" si="24"/>
        <v>188551.45488024972</v>
      </c>
      <c r="T18" s="55">
        <f t="shared" si="25"/>
        <v>77168.511601896826</v>
      </c>
      <c r="U18" s="55">
        <f t="shared" si="26"/>
        <v>53384.539500447776</v>
      </c>
      <c r="V18" s="60">
        <f t="shared" si="27"/>
        <v>9975.2644764219622</v>
      </c>
      <c r="X18" s="50">
        <v>2030</v>
      </c>
      <c r="Y18" s="55">
        <f t="shared" si="17"/>
        <v>223702.66377285379</v>
      </c>
      <c r="Z18" s="55">
        <f t="shared" si="18"/>
        <v>56479.675568417908</v>
      </c>
      <c r="AA18" s="55">
        <f t="shared" si="19"/>
        <v>23115.454092575994</v>
      </c>
      <c r="AB18" s="55">
        <f t="shared" si="20"/>
        <v>15991.080383175067</v>
      </c>
      <c r="AC18" s="60">
        <f t="shared" si="21"/>
        <v>2988.0421855948825</v>
      </c>
      <c r="AD18" s="77">
        <f t="shared" si="22"/>
        <v>322276.91600261763</v>
      </c>
    </row>
    <row r="19" spans="2:31" x14ac:dyDescent="0.3">
      <c r="B19" s="50">
        <v>2031</v>
      </c>
      <c r="C19" s="51">
        <f>'Traffic – VMT'!Q18/1000000</f>
        <v>3.5630328719101581</v>
      </c>
      <c r="D19" s="52">
        <f t="shared" si="0"/>
        <v>2.5999999999999999E-2</v>
      </c>
      <c r="E19" s="53">
        <f t="shared" si="1"/>
        <v>0.1229</v>
      </c>
      <c r="F19" s="53">
        <f t="shared" si="2"/>
        <v>0.13739999999999999</v>
      </c>
      <c r="G19" s="53">
        <f t="shared" si="3"/>
        <v>0.14929999999999999</v>
      </c>
      <c r="H19" s="54">
        <f t="shared" si="4"/>
        <v>0.5635</v>
      </c>
      <c r="J19" s="50">
        <v>2031</v>
      </c>
      <c r="K19" s="55">
        <f t="shared" si="5"/>
        <v>985068.12897807616</v>
      </c>
      <c r="L19" s="56">
        <f t="shared" si="6"/>
        <v>248706.59740539757</v>
      </c>
      <c r="M19" s="56">
        <f t="shared" si="7"/>
        <v>101788.22517988988</v>
      </c>
      <c r="N19" s="56">
        <f t="shared" si="8"/>
        <v>70416.254181877186</v>
      </c>
      <c r="O19" s="57">
        <f t="shared" si="9"/>
        <v>13157.756261947094</v>
      </c>
      <c r="Q19" s="50">
        <v>2031</v>
      </c>
      <c r="R19" s="55">
        <f t="shared" si="23"/>
        <v>758009.92524862953</v>
      </c>
      <c r="S19" s="55">
        <f t="shared" si="24"/>
        <v>191379.72670345343</v>
      </c>
      <c r="T19" s="55">
        <f t="shared" si="25"/>
        <v>78326.039275925257</v>
      </c>
      <c r="U19" s="55">
        <f t="shared" si="26"/>
        <v>54185.307592954494</v>
      </c>
      <c r="V19" s="60">
        <f t="shared" si="27"/>
        <v>10124.893443568288</v>
      </c>
      <c r="X19" s="50">
        <v>2031</v>
      </c>
      <c r="Y19" s="55">
        <f t="shared" si="17"/>
        <v>227058.20372944663</v>
      </c>
      <c r="Z19" s="55">
        <f t="shared" si="18"/>
        <v>57326.870701944135</v>
      </c>
      <c r="AA19" s="55">
        <f t="shared" si="19"/>
        <v>23462.185903964622</v>
      </c>
      <c r="AB19" s="55">
        <f t="shared" si="20"/>
        <v>16230.946588922692</v>
      </c>
      <c r="AC19" s="60">
        <f t="shared" si="21"/>
        <v>3032.862818378806</v>
      </c>
      <c r="AD19" s="77">
        <f t="shared" si="22"/>
        <v>327111.06974265684</v>
      </c>
    </row>
    <row r="20" spans="2:31" x14ac:dyDescent="0.3">
      <c r="B20" s="50">
        <v>2032</v>
      </c>
      <c r="C20" s="51">
        <f>'Traffic – VMT'!Q19/1000000</f>
        <v>3.616478364988811</v>
      </c>
      <c r="D20" s="52">
        <f t="shared" si="0"/>
        <v>2.5999999999999999E-2</v>
      </c>
      <c r="E20" s="53">
        <f t="shared" si="1"/>
        <v>0.1229</v>
      </c>
      <c r="F20" s="53">
        <f t="shared" si="2"/>
        <v>0.13739999999999999</v>
      </c>
      <c r="G20" s="53">
        <f t="shared" si="3"/>
        <v>0.14929999999999999</v>
      </c>
      <c r="H20" s="54">
        <f t="shared" si="4"/>
        <v>0.5635</v>
      </c>
      <c r="J20" s="50">
        <v>2032</v>
      </c>
      <c r="K20" s="55">
        <f t="shared" si="5"/>
        <v>999844.15091274749</v>
      </c>
      <c r="L20" s="56">
        <f t="shared" si="6"/>
        <v>252437.19636647857</v>
      </c>
      <c r="M20" s="56">
        <f t="shared" si="7"/>
        <v>103315.04855758825</v>
      </c>
      <c r="N20" s="56">
        <f t="shared" si="8"/>
        <v>71472.49799460535</v>
      </c>
      <c r="O20" s="57">
        <f t="shared" si="9"/>
        <v>13355.122605876302</v>
      </c>
      <c r="Q20" s="50">
        <v>2032</v>
      </c>
      <c r="R20" s="55">
        <f t="shared" si="23"/>
        <v>769380.0741273592</v>
      </c>
      <c r="S20" s="55">
        <f t="shared" si="24"/>
        <v>194250.42260400526</v>
      </c>
      <c r="T20" s="55">
        <f t="shared" si="25"/>
        <v>79500.929865064158</v>
      </c>
      <c r="U20" s="55">
        <f t="shared" si="26"/>
        <v>54998.087206848817</v>
      </c>
      <c r="V20" s="60">
        <f t="shared" si="27"/>
        <v>10276.766845221815</v>
      </c>
      <c r="X20" s="50">
        <v>2032</v>
      </c>
      <c r="Y20" s="55">
        <f t="shared" si="17"/>
        <v>230464.07678538829</v>
      </c>
      <c r="Z20" s="55">
        <f t="shared" si="18"/>
        <v>58186.773762473313</v>
      </c>
      <c r="AA20" s="55">
        <f t="shared" si="19"/>
        <v>23814.118692524091</v>
      </c>
      <c r="AB20" s="55">
        <f t="shared" si="20"/>
        <v>16474.410787756533</v>
      </c>
      <c r="AC20" s="60">
        <f t="shared" si="21"/>
        <v>3078.3557606544873</v>
      </c>
      <c r="AD20" s="77">
        <f t="shared" si="22"/>
        <v>332017.73578879674</v>
      </c>
    </row>
    <row r="21" spans="2:31" x14ac:dyDescent="0.3">
      <c r="B21" s="50">
        <v>2033</v>
      </c>
      <c r="C21" s="51">
        <f>'Traffic – VMT'!Q20/1000000</f>
        <v>3.6707255404636427</v>
      </c>
      <c r="D21" s="52">
        <f t="shared" si="0"/>
        <v>2.5999999999999999E-2</v>
      </c>
      <c r="E21" s="53">
        <f t="shared" si="1"/>
        <v>0.1229</v>
      </c>
      <c r="F21" s="53">
        <f t="shared" si="2"/>
        <v>0.13739999999999999</v>
      </c>
      <c r="G21" s="53">
        <f t="shared" si="3"/>
        <v>0.14929999999999999</v>
      </c>
      <c r="H21" s="54">
        <f t="shared" si="4"/>
        <v>0.5635</v>
      </c>
      <c r="J21" s="50">
        <v>2033</v>
      </c>
      <c r="K21" s="55">
        <f t="shared" si="5"/>
        <v>1014841.8131764386</v>
      </c>
      <c r="L21" s="56">
        <f t="shared" si="6"/>
        <v>256223.75431197573</v>
      </c>
      <c r="M21" s="56">
        <f t="shared" si="7"/>
        <v>104864.77428595207</v>
      </c>
      <c r="N21" s="56">
        <f t="shared" si="8"/>
        <v>72544.585464524425</v>
      </c>
      <c r="O21" s="57">
        <f t="shared" si="9"/>
        <v>13555.449444964446</v>
      </c>
      <c r="Q21" s="50">
        <v>2033</v>
      </c>
      <c r="R21" s="55">
        <f t="shared" si="23"/>
        <v>780920.77523926948</v>
      </c>
      <c r="S21" s="55">
        <f t="shared" si="24"/>
        <v>197164.17894306532</v>
      </c>
      <c r="T21" s="55">
        <f t="shared" si="25"/>
        <v>80693.44381304011</v>
      </c>
      <c r="U21" s="55">
        <f t="shared" si="26"/>
        <v>55823.058514951539</v>
      </c>
      <c r="V21" s="60">
        <f t="shared" si="27"/>
        <v>10430.91834790014</v>
      </c>
      <c r="X21" s="50">
        <v>2033</v>
      </c>
      <c r="Y21" s="55">
        <f t="shared" si="17"/>
        <v>233921.03793716908</v>
      </c>
      <c r="Z21" s="55">
        <f t="shared" si="18"/>
        <v>59059.575368910417</v>
      </c>
      <c r="AA21" s="55">
        <f t="shared" si="19"/>
        <v>24171.330472911955</v>
      </c>
      <c r="AB21" s="55">
        <f t="shared" si="20"/>
        <v>16721.526949572886</v>
      </c>
      <c r="AC21" s="60">
        <f t="shared" si="21"/>
        <v>3124.5310970643059</v>
      </c>
      <c r="AD21" s="77">
        <f t="shared" si="22"/>
        <v>336998.00182562869</v>
      </c>
    </row>
    <row r="22" spans="2:31" x14ac:dyDescent="0.3">
      <c r="B22" s="50">
        <v>2034</v>
      </c>
      <c r="C22" s="51">
        <f>'Traffic – VMT'!Q21/1000000</f>
        <v>3.7257864235705971</v>
      </c>
      <c r="D22" s="52">
        <f t="shared" si="0"/>
        <v>2.5999999999999999E-2</v>
      </c>
      <c r="E22" s="53">
        <f t="shared" si="1"/>
        <v>0.1229</v>
      </c>
      <c r="F22" s="53">
        <f t="shared" si="2"/>
        <v>0.13739999999999999</v>
      </c>
      <c r="G22" s="53">
        <f t="shared" si="3"/>
        <v>0.14929999999999999</v>
      </c>
      <c r="H22" s="54">
        <f t="shared" si="4"/>
        <v>0.5635</v>
      </c>
      <c r="J22" s="50">
        <v>2034</v>
      </c>
      <c r="K22" s="55">
        <f t="shared" si="5"/>
        <v>1030064.4403740851</v>
      </c>
      <c r="L22" s="56">
        <f t="shared" si="6"/>
        <v>260067.11062665534</v>
      </c>
      <c r="M22" s="56">
        <f t="shared" si="7"/>
        <v>106437.74590024132</v>
      </c>
      <c r="N22" s="56">
        <f t="shared" si="8"/>
        <v>73632.754246492274</v>
      </c>
      <c r="O22" s="57">
        <f t="shared" si="9"/>
        <v>13758.781186638913</v>
      </c>
      <c r="Q22" s="50">
        <v>2034</v>
      </c>
      <c r="R22" s="55">
        <f t="shared" si="23"/>
        <v>792634.58686785842</v>
      </c>
      <c r="S22" s="55">
        <f t="shared" si="24"/>
        <v>200121.64162721127</v>
      </c>
      <c r="T22" s="55">
        <f t="shared" si="25"/>
        <v>81903.845470235698</v>
      </c>
      <c r="U22" s="55">
        <f t="shared" si="26"/>
        <v>56660.404392675802</v>
      </c>
      <c r="V22" s="60">
        <f t="shared" si="27"/>
        <v>10587.382123118643</v>
      </c>
      <c r="X22" s="50">
        <v>2034</v>
      </c>
      <c r="Y22" s="55">
        <f t="shared" si="17"/>
        <v>237429.85350622667</v>
      </c>
      <c r="Z22" s="55">
        <f t="shared" si="18"/>
        <v>59945.468999444071</v>
      </c>
      <c r="AA22" s="55">
        <f t="shared" si="19"/>
        <v>24533.900430005626</v>
      </c>
      <c r="AB22" s="55">
        <f t="shared" si="20"/>
        <v>16972.349853816471</v>
      </c>
      <c r="AC22" s="60">
        <f t="shared" si="21"/>
        <v>3171.3990635202699</v>
      </c>
      <c r="AD22" s="77">
        <f t="shared" si="22"/>
        <v>342052.97185301303</v>
      </c>
    </row>
    <row r="23" spans="2:31" x14ac:dyDescent="0.3">
      <c r="B23" s="50">
        <v>2035</v>
      </c>
      <c r="C23" s="51">
        <f>'Traffic – VMT'!Q22/1000000</f>
        <v>3.7816732199241563</v>
      </c>
      <c r="D23" s="52">
        <f t="shared" si="0"/>
        <v>2.5999999999999999E-2</v>
      </c>
      <c r="E23" s="53">
        <f t="shared" si="1"/>
        <v>0.1229</v>
      </c>
      <c r="F23" s="53">
        <f t="shared" si="2"/>
        <v>0.13739999999999999</v>
      </c>
      <c r="G23" s="53">
        <f t="shared" si="3"/>
        <v>0.14929999999999999</v>
      </c>
      <c r="H23" s="54">
        <f t="shared" si="4"/>
        <v>0.5635</v>
      </c>
      <c r="J23" s="50">
        <v>2035</v>
      </c>
      <c r="K23" s="55">
        <f t="shared" si="5"/>
        <v>1045515.4069796964</v>
      </c>
      <c r="L23" s="56">
        <f t="shared" si="6"/>
        <v>263968.11728605517</v>
      </c>
      <c r="M23" s="56">
        <f t="shared" si="7"/>
        <v>108034.31208874496</v>
      </c>
      <c r="N23" s="56">
        <f t="shared" si="8"/>
        <v>74737.245560189665</v>
      </c>
      <c r="O23" s="57">
        <f t="shared" si="9"/>
        <v>13965.162904438497</v>
      </c>
      <c r="Q23" s="50">
        <v>2035</v>
      </c>
      <c r="R23" s="55">
        <f t="shared" si="23"/>
        <v>804524.10567087634</v>
      </c>
      <c r="S23" s="55">
        <f t="shared" si="24"/>
        <v>203123.46625161945</v>
      </c>
      <c r="T23" s="55">
        <f t="shared" si="25"/>
        <v>83132.403152289247</v>
      </c>
      <c r="U23" s="55">
        <f t="shared" si="26"/>
        <v>57510.310458565946</v>
      </c>
      <c r="V23" s="60">
        <f t="shared" si="27"/>
        <v>10746.192854965424</v>
      </c>
      <c r="X23" s="50">
        <v>2035</v>
      </c>
      <c r="Y23" s="55">
        <f t="shared" si="17"/>
        <v>240991.30130882002</v>
      </c>
      <c r="Z23" s="55">
        <f t="shared" si="18"/>
        <v>60844.651034435723</v>
      </c>
      <c r="AA23" s="55">
        <f t="shared" si="19"/>
        <v>24901.908936455715</v>
      </c>
      <c r="AB23" s="55">
        <f t="shared" si="20"/>
        <v>17226.93510162372</v>
      </c>
      <c r="AC23" s="60">
        <f t="shared" si="21"/>
        <v>3218.9700494730732</v>
      </c>
      <c r="AD23" s="77">
        <f t="shared" si="22"/>
        <v>347183.76643080823</v>
      </c>
    </row>
    <row r="24" spans="2:31" x14ac:dyDescent="0.3">
      <c r="B24" s="50">
        <v>2036</v>
      </c>
      <c r="C24" s="51">
        <f>'Traffic – VMT'!Q23/1000000</f>
        <v>3.8383983182230175</v>
      </c>
      <c r="D24" s="52">
        <f t="shared" si="0"/>
        <v>2.5999999999999999E-2</v>
      </c>
      <c r="E24" s="53">
        <f t="shared" si="1"/>
        <v>0.1229</v>
      </c>
      <c r="F24" s="53">
        <f t="shared" si="2"/>
        <v>0.13739999999999999</v>
      </c>
      <c r="G24" s="53">
        <f t="shared" si="3"/>
        <v>0.14929999999999999</v>
      </c>
      <c r="H24" s="54">
        <f t="shared" si="4"/>
        <v>0.5635</v>
      </c>
      <c r="J24" s="50">
        <v>2036</v>
      </c>
      <c r="K24" s="55">
        <f t="shared" si="5"/>
        <v>1061198.1380843916</v>
      </c>
      <c r="L24" s="56">
        <f t="shared" si="6"/>
        <v>267927.63904534595</v>
      </c>
      <c r="M24" s="56">
        <f t="shared" si="7"/>
        <v>109654.82677007611</v>
      </c>
      <c r="N24" s="56">
        <f t="shared" si="8"/>
        <v>75858.304243592487</v>
      </c>
      <c r="O24" s="57">
        <f t="shared" si="9"/>
        <v>14174.64034800507</v>
      </c>
      <c r="Q24" s="50">
        <v>2036</v>
      </c>
      <c r="R24" s="55">
        <f t="shared" si="23"/>
        <v>816591.96725593926</v>
      </c>
      <c r="S24" s="55">
        <f t="shared" si="24"/>
        <v>206170.31824539369</v>
      </c>
      <c r="T24" s="55">
        <f t="shared" si="25"/>
        <v>84379.389199573561</v>
      </c>
      <c r="U24" s="55">
        <f t="shared" si="26"/>
        <v>58372.965115444415</v>
      </c>
      <c r="V24" s="60">
        <f t="shared" si="27"/>
        <v>10907.385747789902</v>
      </c>
      <c r="X24" s="50">
        <v>2036</v>
      </c>
      <c r="Y24" s="55">
        <f t="shared" si="17"/>
        <v>244606.17082845233</v>
      </c>
      <c r="Z24" s="55">
        <f t="shared" si="18"/>
        <v>61757.320799952256</v>
      </c>
      <c r="AA24" s="55">
        <f t="shared" si="19"/>
        <v>25275.437570502545</v>
      </c>
      <c r="AB24" s="55">
        <f t="shared" si="20"/>
        <v>17485.339128148073</v>
      </c>
      <c r="AC24" s="60">
        <f t="shared" si="21"/>
        <v>3267.2546002151685</v>
      </c>
      <c r="AD24" s="77">
        <f t="shared" si="22"/>
        <v>352391.52292727033</v>
      </c>
    </row>
    <row r="25" spans="2:31" x14ac:dyDescent="0.3">
      <c r="B25" s="50">
        <v>2037</v>
      </c>
      <c r="C25" s="51">
        <f>'Traffic – VMT'!Q24/1000000</f>
        <v>3.895974292996363</v>
      </c>
      <c r="D25" s="52">
        <f t="shared" si="0"/>
        <v>2.5999999999999999E-2</v>
      </c>
      <c r="E25" s="53">
        <f t="shared" si="1"/>
        <v>0.1229</v>
      </c>
      <c r="F25" s="53">
        <f t="shared" si="2"/>
        <v>0.13739999999999999</v>
      </c>
      <c r="G25" s="53">
        <f t="shared" si="3"/>
        <v>0.14929999999999999</v>
      </c>
      <c r="H25" s="54">
        <f t="shared" si="4"/>
        <v>0.5635</v>
      </c>
      <c r="J25" s="50">
        <v>2037</v>
      </c>
      <c r="K25" s="55">
        <f t="shared" si="5"/>
        <v>1077116.1101556576</v>
      </c>
      <c r="L25" s="56">
        <f t="shared" si="6"/>
        <v>271946.55363102618</v>
      </c>
      <c r="M25" s="56">
        <f t="shared" si="7"/>
        <v>111299.64917162724</v>
      </c>
      <c r="N25" s="56">
        <f t="shared" si="8"/>
        <v>76996.178807246368</v>
      </c>
      <c r="O25" s="57">
        <f t="shared" si="9"/>
        <v>14387.259953225148</v>
      </c>
      <c r="Q25" s="50">
        <v>2037</v>
      </c>
      <c r="R25" s="55">
        <f t="shared" si="23"/>
        <v>828840.84676477849</v>
      </c>
      <c r="S25" s="55">
        <f t="shared" si="24"/>
        <v>209262.87301907464</v>
      </c>
      <c r="T25" s="55">
        <f t="shared" si="25"/>
        <v>85645.080037567153</v>
      </c>
      <c r="U25" s="55">
        <f t="shared" si="26"/>
        <v>59248.559592176076</v>
      </c>
      <c r="V25" s="60">
        <f t="shared" si="27"/>
        <v>11070.99653400675</v>
      </c>
      <c r="X25" s="50">
        <v>2037</v>
      </c>
      <c r="Y25" s="55">
        <f t="shared" si="17"/>
        <v>248275.26339087915</v>
      </c>
      <c r="Z25" s="55">
        <f t="shared" si="18"/>
        <v>62683.680611951539</v>
      </c>
      <c r="AA25" s="55">
        <f t="shared" si="19"/>
        <v>25654.56913406009</v>
      </c>
      <c r="AB25" s="55">
        <f t="shared" si="20"/>
        <v>17747.619215070292</v>
      </c>
      <c r="AC25" s="60">
        <f t="shared" si="21"/>
        <v>3316.2634192183978</v>
      </c>
      <c r="AD25" s="77">
        <f t="shared" si="22"/>
        <v>357677.39577117941</v>
      </c>
    </row>
    <row r="26" spans="2:31" x14ac:dyDescent="0.3">
      <c r="B26" s="50">
        <v>2038</v>
      </c>
      <c r="C26" s="51">
        <f>'Traffic – VMT'!Q25/1000000</f>
        <v>3.9544139073913072</v>
      </c>
      <c r="D26" s="52">
        <f t="shared" si="0"/>
        <v>2.5999999999999999E-2</v>
      </c>
      <c r="E26" s="53">
        <f t="shared" si="1"/>
        <v>0.1229</v>
      </c>
      <c r="F26" s="53">
        <f t="shared" si="2"/>
        <v>0.13739999999999999</v>
      </c>
      <c r="G26" s="53">
        <f t="shared" si="3"/>
        <v>0.14929999999999999</v>
      </c>
      <c r="H26" s="54">
        <f t="shared" si="4"/>
        <v>0.5635</v>
      </c>
      <c r="J26" s="50">
        <v>2038</v>
      </c>
      <c r="K26" s="55">
        <f t="shared" si="5"/>
        <v>1093272.851807992</v>
      </c>
      <c r="L26" s="56">
        <f t="shared" si="6"/>
        <v>276025.75193549145</v>
      </c>
      <c r="M26" s="56">
        <f t="shared" si="7"/>
        <v>112969.14390920162</v>
      </c>
      <c r="N26" s="56">
        <f t="shared" si="8"/>
        <v>78151.12148935505</v>
      </c>
      <c r="O26" s="57">
        <f t="shared" si="9"/>
        <v>14603.06885252352</v>
      </c>
      <c r="Q26" s="50">
        <v>2038</v>
      </c>
      <c r="R26" s="55">
        <f t="shared" si="23"/>
        <v>841273.4594662498</v>
      </c>
      <c r="S26" s="55">
        <f t="shared" si="24"/>
        <v>212401.81611436067</v>
      </c>
      <c r="T26" s="55">
        <f t="shared" si="25"/>
        <v>86929.756238130649</v>
      </c>
      <c r="U26" s="55">
        <f t="shared" si="26"/>
        <v>60137.287986058705</v>
      </c>
      <c r="V26" s="60">
        <f t="shared" si="27"/>
        <v>11237.061482016848</v>
      </c>
      <c r="X26" s="50">
        <v>2038</v>
      </c>
      <c r="Y26" s="55">
        <f t="shared" si="17"/>
        <v>251999.39234174218</v>
      </c>
      <c r="Z26" s="55">
        <f t="shared" si="18"/>
        <v>63623.935821130784</v>
      </c>
      <c r="AA26" s="55">
        <f t="shared" si="19"/>
        <v>26039.387671070974</v>
      </c>
      <c r="AB26" s="55">
        <f t="shared" si="20"/>
        <v>18013.833503296344</v>
      </c>
      <c r="AC26" s="60">
        <f t="shared" si="21"/>
        <v>3366.0073705066716</v>
      </c>
      <c r="AD26" s="77">
        <f t="shared" si="22"/>
        <v>363042.55670774693</v>
      </c>
    </row>
    <row r="27" spans="2:31" x14ac:dyDescent="0.3">
      <c r="B27" s="50">
        <v>2039</v>
      </c>
      <c r="C27" s="51">
        <f>'Traffic – VMT'!Q26/1000000</f>
        <v>4.0137301160021766</v>
      </c>
      <c r="D27" s="52">
        <f t="shared" si="0"/>
        <v>2.5999999999999999E-2</v>
      </c>
      <c r="E27" s="53">
        <f t="shared" si="1"/>
        <v>0.1229</v>
      </c>
      <c r="F27" s="53">
        <f t="shared" si="2"/>
        <v>0.13739999999999999</v>
      </c>
      <c r="G27" s="53">
        <f t="shared" si="3"/>
        <v>0.14929999999999999</v>
      </c>
      <c r="H27" s="54">
        <f t="shared" si="4"/>
        <v>0.5635</v>
      </c>
      <c r="J27" s="50">
        <v>2039</v>
      </c>
      <c r="K27" s="55">
        <f t="shared" si="5"/>
        <v>1109671.9445851119</v>
      </c>
      <c r="L27" s="56">
        <f t="shared" si="6"/>
        <v>280166.13821452379</v>
      </c>
      <c r="M27" s="56">
        <f t="shared" si="7"/>
        <v>114663.68106783966</v>
      </c>
      <c r="N27" s="56">
        <f t="shared" si="8"/>
        <v>79323.388311695366</v>
      </c>
      <c r="O27" s="57">
        <f t="shared" si="9"/>
        <v>14822.11488531137</v>
      </c>
      <c r="P27" s="61"/>
      <c r="Q27" s="50">
        <v>2039</v>
      </c>
      <c r="R27" s="55">
        <f t="shared" si="23"/>
        <v>853892.56135824358</v>
      </c>
      <c r="S27" s="55">
        <f t="shared" si="24"/>
        <v>215587.84335607605</v>
      </c>
      <c r="T27" s="55">
        <f t="shared" si="25"/>
        <v>88233.702581702615</v>
      </c>
      <c r="U27" s="55">
        <f t="shared" si="26"/>
        <v>61039.34730584958</v>
      </c>
      <c r="V27" s="60">
        <f t="shared" si="27"/>
        <v>11405.617404247099</v>
      </c>
      <c r="X27" s="50">
        <v>2039</v>
      </c>
      <c r="Y27" s="55">
        <f t="shared" si="17"/>
        <v>255779.38322686835</v>
      </c>
      <c r="Z27" s="55">
        <f t="shared" si="18"/>
        <v>64578.294858447742</v>
      </c>
      <c r="AA27" s="55">
        <f t="shared" si="19"/>
        <v>26429.978486137043</v>
      </c>
      <c r="AB27" s="55">
        <f t="shared" si="20"/>
        <v>18284.041005845786</v>
      </c>
      <c r="AC27" s="60">
        <f t="shared" si="21"/>
        <v>3416.4974810642707</v>
      </c>
      <c r="AD27" s="77">
        <f t="shared" si="22"/>
        <v>368488.1950583632</v>
      </c>
    </row>
    <row r="28" spans="2:31" ht="17.25" thickBot="1" x14ac:dyDescent="0.35">
      <c r="B28" s="62">
        <v>2040</v>
      </c>
      <c r="C28" s="63">
        <f>'Traffic – VMT'!Q27/1000000</f>
        <v>4.0739360677422081</v>
      </c>
      <c r="D28" s="64">
        <f t="shared" si="0"/>
        <v>2.5999999999999999E-2</v>
      </c>
      <c r="E28" s="65">
        <f t="shared" si="1"/>
        <v>0.1229</v>
      </c>
      <c r="F28" s="65">
        <f t="shared" si="2"/>
        <v>0.13739999999999999</v>
      </c>
      <c r="G28" s="65">
        <f t="shared" si="3"/>
        <v>0.14929999999999999</v>
      </c>
      <c r="H28" s="66">
        <f t="shared" si="4"/>
        <v>0.5635</v>
      </c>
      <c r="J28" s="62">
        <v>2040</v>
      </c>
      <c r="K28" s="67">
        <f t="shared" si="5"/>
        <v>1126317.0237538882</v>
      </c>
      <c r="L28" s="68">
        <f t="shared" si="6"/>
        <v>284368.6302877416</v>
      </c>
      <c r="M28" s="68">
        <f t="shared" si="7"/>
        <v>116383.63628385721</v>
      </c>
      <c r="N28" s="68">
        <f t="shared" si="8"/>
        <v>80513.239136370772</v>
      </c>
      <c r="O28" s="69">
        <f t="shared" si="9"/>
        <v>15044.446608591037</v>
      </c>
      <c r="Q28" s="62">
        <v>2040</v>
      </c>
      <c r="R28" s="67">
        <f t="shared" si="23"/>
        <v>866700.94977861689</v>
      </c>
      <c r="S28" s="67">
        <f t="shared" si="24"/>
        <v>218821.66100641715</v>
      </c>
      <c r="T28" s="67">
        <f t="shared" si="25"/>
        <v>89557.208120428113</v>
      </c>
      <c r="U28" s="67">
        <f t="shared" si="26"/>
        <v>61954.937515437305</v>
      </c>
      <c r="V28" s="70">
        <f t="shared" si="27"/>
        <v>11576.701665310802</v>
      </c>
      <c r="X28" s="62">
        <v>2040</v>
      </c>
      <c r="Y28" s="67">
        <f t="shared" si="17"/>
        <v>259616.07397527131</v>
      </c>
      <c r="Z28" s="67">
        <f t="shared" si="18"/>
        <v>65546.969281324447</v>
      </c>
      <c r="AA28" s="67">
        <f t="shared" si="19"/>
        <v>26826.428163429096</v>
      </c>
      <c r="AB28" s="67">
        <f t="shared" si="20"/>
        <v>18558.301620933467</v>
      </c>
      <c r="AC28" s="70">
        <f t="shared" si="21"/>
        <v>3467.744943280235</v>
      </c>
      <c r="AD28" s="78">
        <f t="shared" si="22"/>
        <v>374015.51798423851</v>
      </c>
    </row>
    <row r="29" spans="2:31" ht="16.5" customHeight="1" thickBot="1" x14ac:dyDescent="0.35">
      <c r="B29" s="277" t="s">
        <v>155</v>
      </c>
      <c r="C29" s="277"/>
      <c r="D29" s="277"/>
      <c r="E29" s="277"/>
      <c r="F29" s="277"/>
      <c r="G29" s="277"/>
      <c r="H29" s="277"/>
      <c r="J29" s="275" t="s">
        <v>156</v>
      </c>
      <c r="K29" s="275"/>
      <c r="L29" s="275"/>
      <c r="M29" s="275"/>
      <c r="N29" s="275"/>
      <c r="O29" s="275"/>
      <c r="Q29" s="275" t="s">
        <v>157</v>
      </c>
      <c r="R29" s="275"/>
      <c r="S29" s="275"/>
      <c r="T29" s="275"/>
      <c r="U29" s="275"/>
      <c r="V29" s="275"/>
      <c r="AC29" s="8" t="s">
        <v>130</v>
      </c>
      <c r="AD29" s="200">
        <f>SUM(AD5:AD28)</f>
        <v>6414201.3494693562</v>
      </c>
    </row>
    <row r="30" spans="2:31" s="201" customFormat="1" ht="16.5" customHeight="1" x14ac:dyDescent="0.3">
      <c r="B30" s="278"/>
      <c r="C30" s="278"/>
      <c r="D30" s="278"/>
      <c r="E30" s="278"/>
      <c r="F30" s="278"/>
      <c r="G30" s="278"/>
      <c r="H30" s="278"/>
      <c r="J30" s="276"/>
      <c r="K30" s="276"/>
      <c r="L30" s="276"/>
      <c r="M30" s="276"/>
      <c r="N30" s="276"/>
      <c r="O30" s="276"/>
      <c r="Q30" s="279"/>
      <c r="R30" s="279"/>
      <c r="S30" s="279"/>
      <c r="T30" s="279"/>
      <c r="U30" s="279"/>
      <c r="V30" s="279"/>
      <c r="X30" s="247" t="s">
        <v>158</v>
      </c>
      <c r="Y30" s="247"/>
      <c r="Z30" s="247"/>
      <c r="AA30" s="247"/>
      <c r="AB30" s="247"/>
      <c r="AC30" s="247"/>
      <c r="AD30" s="247"/>
      <c r="AE30" s="184"/>
    </row>
    <row r="31" spans="2:31" s="201" customFormat="1" ht="16.5" customHeight="1" x14ac:dyDescent="0.3">
      <c r="B31" s="278"/>
      <c r="C31" s="278"/>
      <c r="D31" s="278"/>
      <c r="E31" s="278"/>
      <c r="F31" s="278"/>
      <c r="G31" s="278"/>
      <c r="H31" s="278"/>
      <c r="K31" s="49"/>
      <c r="O31" s="49"/>
      <c r="Q31" s="279"/>
      <c r="R31" s="279"/>
      <c r="S31" s="279"/>
      <c r="T31" s="279"/>
      <c r="U31" s="279"/>
      <c r="V31" s="279"/>
      <c r="X31" s="247"/>
      <c r="Y31" s="247"/>
      <c r="Z31" s="247"/>
      <c r="AA31" s="247"/>
      <c r="AB31" s="247"/>
      <c r="AC31" s="247"/>
      <c r="AD31" s="247"/>
    </row>
    <row r="32" spans="2:31" s="201" customFormat="1" ht="16.5" customHeight="1" x14ac:dyDescent="0.3">
      <c r="B32" s="278"/>
      <c r="C32" s="278"/>
      <c r="D32" s="278"/>
      <c r="E32" s="278"/>
      <c r="F32" s="278"/>
      <c r="G32" s="278"/>
      <c r="H32" s="278"/>
      <c r="K32" s="227"/>
      <c r="O32" s="49"/>
      <c r="Q32" s="61"/>
      <c r="X32" s="225"/>
      <c r="Y32" s="225"/>
      <c r="Z32" s="225"/>
      <c r="AA32" s="225"/>
      <c r="AB32" s="225"/>
      <c r="AC32" s="225"/>
      <c r="AD32" s="225"/>
    </row>
    <row r="33" spans="2:30" s="201" customFormat="1" ht="16.5" customHeight="1" x14ac:dyDescent="0.3">
      <c r="B33" s="278"/>
      <c r="C33" s="278"/>
      <c r="D33" s="278"/>
      <c r="E33" s="278"/>
      <c r="F33" s="278"/>
      <c r="G33" s="278"/>
      <c r="H33" s="278"/>
      <c r="K33" s="49"/>
      <c r="O33" s="49"/>
      <c r="Q33" s="213"/>
      <c r="R33" s="213"/>
      <c r="S33" s="213"/>
      <c r="T33" s="213"/>
      <c r="U33" s="213"/>
      <c r="V33" s="213"/>
      <c r="Z33" s="6"/>
      <c r="AA33" s="6"/>
      <c r="AB33" s="6"/>
      <c r="AC33" s="6"/>
      <c r="AD33" s="6"/>
    </row>
    <row r="34" spans="2:30" s="201" customFormat="1" ht="16.5" customHeight="1" x14ac:dyDescent="0.3">
      <c r="B34" s="210"/>
      <c r="C34" s="210"/>
      <c r="D34" s="210"/>
      <c r="E34" s="210"/>
      <c r="F34" s="210"/>
      <c r="G34" s="210"/>
      <c r="H34" s="210"/>
      <c r="K34" s="49"/>
      <c r="O34" s="49"/>
      <c r="Q34" s="211"/>
      <c r="R34" s="211"/>
      <c r="S34" s="211"/>
      <c r="T34" s="211"/>
      <c r="U34" s="211"/>
      <c r="V34" s="211"/>
      <c r="X34" s="6"/>
      <c r="Y34" s="6"/>
      <c r="Z34" s="6"/>
      <c r="AA34" s="6"/>
      <c r="AB34" s="6"/>
      <c r="AC34" s="6"/>
      <c r="AD34" s="6"/>
    </row>
    <row r="35" spans="2:30" s="201" customFormat="1" ht="16.5" customHeight="1" x14ac:dyDescent="0.3">
      <c r="K35" s="49"/>
      <c r="O35" s="49"/>
      <c r="Q35" s="61"/>
      <c r="X35" s="71"/>
      <c r="Y35" s="71"/>
      <c r="Z35" s="6"/>
      <c r="AA35" s="6"/>
      <c r="AB35" s="6"/>
      <c r="AC35" s="6"/>
      <c r="AD35" s="6"/>
    </row>
    <row r="36" spans="2:30" ht="17.25" thickBot="1" x14ac:dyDescent="0.35">
      <c r="B36" s="245" t="s">
        <v>144</v>
      </c>
      <c r="C36" s="245"/>
      <c r="D36" s="245"/>
      <c r="E36" s="245"/>
      <c r="F36" s="245"/>
      <c r="G36" s="245"/>
      <c r="H36" s="245"/>
      <c r="K36" s="49"/>
      <c r="N36" s="6"/>
      <c r="O36" s="49"/>
      <c r="Q36" s="61"/>
      <c r="Z36" s="71"/>
      <c r="AA36" s="71"/>
      <c r="AB36" s="71"/>
      <c r="AC36" s="71"/>
      <c r="AD36" s="71"/>
    </row>
    <row r="37" spans="2:30" s="71" customFormat="1" ht="132.75" thickBot="1" x14ac:dyDescent="0.35">
      <c r="B37" s="81" t="s">
        <v>134</v>
      </c>
      <c r="C37" s="83" t="s">
        <v>92</v>
      </c>
      <c r="D37" s="83" t="s">
        <v>95</v>
      </c>
      <c r="E37" s="83" t="s">
        <v>114</v>
      </c>
      <c r="F37" s="83" t="s">
        <v>115</v>
      </c>
      <c r="G37" s="83" t="s">
        <v>96</v>
      </c>
      <c r="H37" s="84" t="s">
        <v>97</v>
      </c>
      <c r="L37" s="6"/>
      <c r="M37" s="6"/>
      <c r="N37" s="6"/>
      <c r="O37" s="6"/>
      <c r="P37" s="6"/>
      <c r="Q37" s="6"/>
      <c r="R37" s="6"/>
      <c r="S37" s="6"/>
      <c r="T37" s="6"/>
      <c r="U37" s="6"/>
      <c r="X37" s="6"/>
      <c r="Y37" s="6"/>
      <c r="Z37" s="6"/>
      <c r="AA37" s="6"/>
      <c r="AB37" s="6"/>
      <c r="AC37" s="6"/>
      <c r="AD37" s="6"/>
    </row>
    <row r="38" spans="2:30" ht="17.25" thickBot="1" x14ac:dyDescent="0.35">
      <c r="B38" s="38" t="s">
        <v>87</v>
      </c>
      <c r="C38" s="40">
        <v>2.5999999999999999E-2</v>
      </c>
      <c r="D38" s="43">
        <v>9600000</v>
      </c>
      <c r="E38" s="43">
        <f>D38*(E49-1)</f>
        <v>895981.1161232309</v>
      </c>
      <c r="F38" s="43">
        <f>D43*F49</f>
        <v>137441.89510329496</v>
      </c>
      <c r="G38" s="43">
        <v>0</v>
      </c>
      <c r="H38" s="48">
        <f>SUM(D38:G38)</f>
        <v>10633423.011226526</v>
      </c>
      <c r="K38" s="245" t="s">
        <v>145</v>
      </c>
      <c r="L38" s="245"/>
      <c r="M38" s="245"/>
      <c r="N38" s="245"/>
      <c r="O38" s="245"/>
      <c r="P38" s="245"/>
      <c r="Q38" s="245"/>
      <c r="R38" s="245"/>
      <c r="S38" s="245"/>
      <c r="T38" s="245"/>
      <c r="U38" s="245"/>
      <c r="V38" s="245"/>
      <c r="Z38" s="201"/>
      <c r="AA38" s="201"/>
      <c r="AB38" s="201"/>
      <c r="AC38" s="201"/>
      <c r="AD38" s="201"/>
    </row>
    <row r="39" spans="2:30" ht="17.25" thickBot="1" x14ac:dyDescent="0.35">
      <c r="B39" s="50" t="s">
        <v>88</v>
      </c>
      <c r="C39" s="53">
        <v>0.1229</v>
      </c>
      <c r="D39" s="55">
        <v>459100</v>
      </c>
      <c r="E39" s="55">
        <v>0</v>
      </c>
      <c r="F39" s="55">
        <f>$D$43*(F50-1)</f>
        <v>108857.17965241986</v>
      </c>
      <c r="G39" s="55">
        <v>0</v>
      </c>
      <c r="H39" s="60">
        <f t="shared" ref="H39:H42" si="28">SUM(D39:G39)</f>
        <v>567957.17965241987</v>
      </c>
      <c r="K39" s="301" t="s">
        <v>103</v>
      </c>
      <c r="L39" s="295"/>
      <c r="M39" s="295"/>
      <c r="N39" s="202" t="s">
        <v>104</v>
      </c>
      <c r="O39" s="202" t="s">
        <v>106</v>
      </c>
      <c r="P39" s="202" t="s">
        <v>107</v>
      </c>
      <c r="Q39" s="202" t="s">
        <v>108</v>
      </c>
      <c r="R39" s="295" t="s">
        <v>105</v>
      </c>
      <c r="S39" s="295"/>
      <c r="T39" s="295"/>
      <c r="U39" s="295"/>
      <c r="V39" s="296"/>
      <c r="Z39" s="201"/>
      <c r="AA39" s="201"/>
      <c r="AB39" s="201"/>
      <c r="AC39" s="201"/>
      <c r="AD39" s="201"/>
    </row>
    <row r="40" spans="2:30" x14ac:dyDescent="0.3">
      <c r="B40" s="50" t="s">
        <v>89</v>
      </c>
      <c r="C40" s="53">
        <v>0.13739999999999999</v>
      </c>
      <c r="D40" s="55">
        <v>125000</v>
      </c>
      <c r="E40" s="55">
        <v>0</v>
      </c>
      <c r="F40" s="55">
        <f>$D$43*(F51-1)</f>
        <v>82917.469127659046</v>
      </c>
      <c r="G40" s="55">
        <v>0</v>
      </c>
      <c r="H40" s="60">
        <f t="shared" si="28"/>
        <v>207917.46912765905</v>
      </c>
      <c r="K40" s="299" t="s">
        <v>98</v>
      </c>
      <c r="L40" s="300"/>
      <c r="M40" s="300"/>
      <c r="N40" s="41">
        <v>0.81</v>
      </c>
      <c r="O40" s="41" t="s">
        <v>85</v>
      </c>
      <c r="P40" s="41" t="s">
        <v>85</v>
      </c>
      <c r="Q40" s="41" t="s">
        <v>112</v>
      </c>
      <c r="R40" s="250" t="s">
        <v>111</v>
      </c>
      <c r="S40" s="250"/>
      <c r="T40" s="250"/>
      <c r="U40" s="250"/>
      <c r="V40" s="251"/>
    </row>
    <row r="41" spans="2:30" ht="17.25" thickBot="1" x14ac:dyDescent="0.35">
      <c r="B41" s="50" t="s">
        <v>90</v>
      </c>
      <c r="C41" s="53">
        <v>0.14929999999999999</v>
      </c>
      <c r="D41" s="55">
        <v>63900</v>
      </c>
      <c r="E41" s="55">
        <v>0</v>
      </c>
      <c r="F41" s="55">
        <f>$D$43*(F52-1)</f>
        <v>68471.131768608815</v>
      </c>
      <c r="G41" s="55">
        <v>0</v>
      </c>
      <c r="H41" s="60">
        <f t="shared" si="28"/>
        <v>132371.13176860882</v>
      </c>
      <c r="K41" s="297" t="s">
        <v>84</v>
      </c>
      <c r="L41" s="298"/>
      <c r="M41" s="298"/>
      <c r="N41" s="65">
        <v>0.95</v>
      </c>
      <c r="O41" s="65" t="s">
        <v>85</v>
      </c>
      <c r="P41" s="65" t="s">
        <v>85</v>
      </c>
      <c r="Q41" s="65" t="s">
        <v>109</v>
      </c>
      <c r="R41" s="293" t="s">
        <v>110</v>
      </c>
      <c r="S41" s="293"/>
      <c r="T41" s="293"/>
      <c r="U41" s="293"/>
      <c r="V41" s="294"/>
      <c r="X41" s="71"/>
      <c r="Y41" s="71"/>
    </row>
    <row r="42" spans="2:30" ht="17.25" thickBot="1" x14ac:dyDescent="0.35">
      <c r="B42" s="50" t="s">
        <v>91</v>
      </c>
      <c r="C42" s="53">
        <v>0.5635</v>
      </c>
      <c r="D42" s="55">
        <v>4252</v>
      </c>
      <c r="E42" s="55">
        <v>0</v>
      </c>
      <c r="F42" s="55">
        <v>0</v>
      </c>
      <c r="G42" s="55">
        <f>D42*(G53-1)</f>
        <v>2301.4212895568689</v>
      </c>
      <c r="H42" s="60">
        <f t="shared" si="28"/>
        <v>6553.4212895568689</v>
      </c>
      <c r="K42" s="291" t="s">
        <v>99</v>
      </c>
      <c r="L42" s="292"/>
      <c r="M42" s="292"/>
      <c r="N42" s="203">
        <f>N40*N41</f>
        <v>0.76949999999999996</v>
      </c>
      <c r="O42" s="201"/>
      <c r="P42" s="201"/>
      <c r="Q42" s="201"/>
      <c r="R42" s="201"/>
      <c r="S42" s="201"/>
    </row>
    <row r="43" spans="2:30" s="71" customFormat="1" ht="33.75" thickBot="1" x14ac:dyDescent="0.35">
      <c r="B43" s="204" t="s">
        <v>93</v>
      </c>
      <c r="C43" s="205" t="s">
        <v>35</v>
      </c>
      <c r="D43" s="206">
        <v>174000</v>
      </c>
      <c r="E43" s="205" t="s">
        <v>35</v>
      </c>
      <c r="F43" s="205" t="s">
        <v>35</v>
      </c>
      <c r="G43" s="205" t="s">
        <v>35</v>
      </c>
      <c r="H43" s="207" t="s">
        <v>35</v>
      </c>
      <c r="K43" s="288" t="s">
        <v>129</v>
      </c>
      <c r="L43" s="288"/>
      <c r="M43" s="288"/>
      <c r="N43" s="288"/>
      <c r="O43" s="288"/>
      <c r="P43" s="288"/>
      <c r="Q43" s="288"/>
      <c r="R43" s="288"/>
      <c r="S43" s="288"/>
      <c r="T43" s="288"/>
      <c r="U43" s="288"/>
      <c r="V43" s="288"/>
      <c r="X43" s="201"/>
      <c r="Y43" s="201"/>
      <c r="Z43" s="201"/>
      <c r="AA43" s="201"/>
      <c r="AB43" s="201"/>
      <c r="AC43" s="201"/>
      <c r="AD43" s="201"/>
    </row>
    <row r="44" spans="2:30" x14ac:dyDescent="0.3">
      <c r="B44" s="287" t="s">
        <v>128</v>
      </c>
      <c r="C44" s="287"/>
      <c r="D44" s="287"/>
      <c r="E44" s="287"/>
      <c r="F44" s="287"/>
      <c r="G44" s="287"/>
      <c r="H44" s="287"/>
      <c r="N44" s="6"/>
      <c r="X44" s="201"/>
      <c r="Y44" s="201"/>
    </row>
    <row r="45" spans="2:30" s="201" customFormat="1" x14ac:dyDescent="0.3">
      <c r="B45" s="106"/>
      <c r="C45" s="106"/>
      <c r="D45" s="106"/>
      <c r="E45" s="106"/>
      <c r="F45" s="106"/>
      <c r="G45" s="106"/>
      <c r="H45" s="106"/>
      <c r="Z45" s="6"/>
      <c r="AA45" s="6"/>
      <c r="AB45" s="6"/>
      <c r="AC45" s="6"/>
      <c r="AD45" s="6"/>
    </row>
    <row r="46" spans="2:30" s="201" customFormat="1" x14ac:dyDescent="0.3">
      <c r="C46" s="72"/>
      <c r="X46" s="6"/>
      <c r="Y46" s="6"/>
      <c r="Z46" s="6"/>
      <c r="AA46" s="6"/>
      <c r="AB46" s="6"/>
      <c r="AC46" s="6"/>
      <c r="AD46" s="6"/>
    </row>
    <row r="47" spans="2:30" s="201" customFormat="1" ht="17.25" thickBot="1" x14ac:dyDescent="0.35">
      <c r="C47" s="72"/>
      <c r="E47" s="245" t="s">
        <v>146</v>
      </c>
      <c r="F47" s="245"/>
      <c r="G47" s="245"/>
      <c r="X47" s="6"/>
      <c r="Y47" s="6"/>
      <c r="Z47" s="6"/>
      <c r="AA47" s="6"/>
      <c r="AB47" s="6"/>
      <c r="AC47" s="6"/>
      <c r="AD47" s="6"/>
    </row>
    <row r="48" spans="2:30" ht="99.75" thickBot="1" x14ac:dyDescent="0.35">
      <c r="E48" s="81" t="s">
        <v>113</v>
      </c>
      <c r="F48" s="83" t="s">
        <v>116</v>
      </c>
      <c r="G48" s="84" t="s">
        <v>94</v>
      </c>
      <c r="L48" s="71"/>
      <c r="M48" s="71"/>
      <c r="N48" s="71"/>
      <c r="O48" s="71"/>
      <c r="P48" s="71"/>
      <c r="Q48" s="71"/>
      <c r="R48" s="71"/>
      <c r="S48" s="71"/>
      <c r="T48" s="71"/>
      <c r="U48" s="71"/>
    </row>
    <row r="49" spans="5:16" x14ac:dyDescent="0.3">
      <c r="E49" s="208">
        <v>1.0933313662628366</v>
      </c>
      <c r="F49" s="39">
        <v>0.78989594886951131</v>
      </c>
      <c r="G49" s="42">
        <v>0</v>
      </c>
      <c r="N49" s="6"/>
      <c r="P49" s="61"/>
    </row>
    <row r="50" spans="5:16" x14ac:dyDescent="0.3">
      <c r="E50" s="50">
        <v>0</v>
      </c>
      <c r="F50" s="51">
        <v>1.6256159750139072</v>
      </c>
      <c r="G50" s="54">
        <v>0</v>
      </c>
      <c r="N50" s="6"/>
      <c r="O50" s="61"/>
    </row>
    <row r="51" spans="5:16" x14ac:dyDescent="0.3">
      <c r="E51" s="50">
        <v>0</v>
      </c>
      <c r="F51" s="51">
        <v>1.4765371788945922</v>
      </c>
      <c r="G51" s="54">
        <v>0</v>
      </c>
    </row>
    <row r="52" spans="5:16" x14ac:dyDescent="0.3">
      <c r="E52" s="50">
        <v>0</v>
      </c>
      <c r="F52" s="51">
        <v>1.3935122515437288</v>
      </c>
      <c r="G52" s="54">
        <v>0</v>
      </c>
    </row>
    <row r="53" spans="5:16" ht="17.25" thickBot="1" x14ac:dyDescent="0.35">
      <c r="E53" s="62">
        <v>0</v>
      </c>
      <c r="F53" s="65">
        <v>0</v>
      </c>
      <c r="G53" s="209">
        <v>1.5412561828685016</v>
      </c>
    </row>
    <row r="54" spans="5:16" ht="16.5" customHeight="1" x14ac:dyDescent="0.3">
      <c r="E54" s="275" t="s">
        <v>127</v>
      </c>
      <c r="F54" s="275"/>
      <c r="G54" s="275"/>
    </row>
    <row r="55" spans="5:16" x14ac:dyDescent="0.3">
      <c r="E55" s="276"/>
      <c r="F55" s="276"/>
      <c r="G55" s="276"/>
    </row>
    <row r="56" spans="5:16" x14ac:dyDescent="0.3">
      <c r="E56" s="276"/>
      <c r="F56" s="276"/>
      <c r="G56" s="276"/>
    </row>
  </sheetData>
  <mergeCells count="31">
    <mergeCell ref="E54:G56"/>
    <mergeCell ref="B44:H44"/>
    <mergeCell ref="K43:V43"/>
    <mergeCell ref="E47:G47"/>
    <mergeCell ref="AD3:AD4"/>
    <mergeCell ref="K38:V38"/>
    <mergeCell ref="B36:H36"/>
    <mergeCell ref="K42:M42"/>
    <mergeCell ref="R40:V40"/>
    <mergeCell ref="R41:V41"/>
    <mergeCell ref="R39:V39"/>
    <mergeCell ref="K41:M41"/>
    <mergeCell ref="K40:M40"/>
    <mergeCell ref="K39:M39"/>
    <mergeCell ref="J3:J4"/>
    <mergeCell ref="X30:AD31"/>
    <mergeCell ref="X2:AD2"/>
    <mergeCell ref="J29:O30"/>
    <mergeCell ref="B29:H33"/>
    <mergeCell ref="Q29:V31"/>
    <mergeCell ref="X3:X4"/>
    <mergeCell ref="Y3:AC3"/>
    <mergeCell ref="K3:O3"/>
    <mergeCell ref="Q3:Q4"/>
    <mergeCell ref="R3:V3"/>
    <mergeCell ref="J2:O2"/>
    <mergeCell ref="Q2:V2"/>
    <mergeCell ref="D3:H3"/>
    <mergeCell ref="B3:B4"/>
    <mergeCell ref="C3:C4"/>
    <mergeCell ref="B2:H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B1:I30"/>
  <sheetViews>
    <sheetView workbookViewId="0">
      <selection activeCell="G30" sqref="G30"/>
    </sheetView>
  </sheetViews>
  <sheetFormatPr defaultRowHeight="16.5" x14ac:dyDescent="0.3"/>
  <cols>
    <col min="1" max="1" width="3.7109375" style="1" customWidth="1"/>
    <col min="2" max="5" width="12.7109375" style="1" customWidth="1"/>
    <col min="6" max="6" width="9.140625" style="1"/>
    <col min="7" max="7" width="34.140625" style="7" bestFit="1" customWidth="1"/>
    <col min="8" max="8" width="29.140625" style="6" bestFit="1" customWidth="1"/>
    <col min="9" max="9" width="46.7109375" style="161" bestFit="1" customWidth="1"/>
    <col min="10" max="16384" width="9.140625" style="1"/>
  </cols>
  <sheetData>
    <row r="1" spans="2:9" ht="17.25" thickBot="1" x14ac:dyDescent="0.35">
      <c r="B1" s="315" t="s">
        <v>147</v>
      </c>
      <c r="C1" s="315"/>
      <c r="D1" s="315"/>
      <c r="E1" s="315"/>
    </row>
    <row r="2" spans="2:9" ht="50.25" thickBot="1" x14ac:dyDescent="0.35">
      <c r="B2" s="162" t="s">
        <v>36</v>
      </c>
      <c r="C2" s="163" t="s">
        <v>51</v>
      </c>
      <c r="D2" s="163" t="s">
        <v>52</v>
      </c>
      <c r="E2" s="164" t="s">
        <v>83</v>
      </c>
      <c r="G2" s="315" t="s">
        <v>148</v>
      </c>
      <c r="H2" s="315"/>
      <c r="I2" s="315"/>
    </row>
    <row r="3" spans="2:9" ht="17.25" thickBot="1" x14ac:dyDescent="0.35">
      <c r="B3" s="38">
        <v>2017</v>
      </c>
      <c r="C3" s="165"/>
      <c r="D3" s="165"/>
      <c r="E3" s="73">
        <f>C3-D3</f>
        <v>0</v>
      </c>
      <c r="G3" s="166" t="s">
        <v>9</v>
      </c>
      <c r="H3" s="167" t="s">
        <v>10</v>
      </c>
      <c r="I3" s="168" t="s">
        <v>11</v>
      </c>
    </row>
    <row r="4" spans="2:9" x14ac:dyDescent="0.3">
      <c r="B4" s="50">
        <v>2018</v>
      </c>
      <c r="C4" s="169"/>
      <c r="D4" s="169"/>
      <c r="E4" s="74">
        <f t="shared" ref="E4:E26" si="0">C4-D4</f>
        <v>0</v>
      </c>
      <c r="G4" s="170" t="s">
        <v>4</v>
      </c>
      <c r="H4" s="41">
        <v>24</v>
      </c>
      <c r="I4" s="171" t="s">
        <v>16</v>
      </c>
    </row>
    <row r="5" spans="2:9" x14ac:dyDescent="0.3">
      <c r="B5" s="50">
        <v>2019</v>
      </c>
      <c r="C5" s="169"/>
      <c r="D5" s="169"/>
      <c r="E5" s="74">
        <f t="shared" si="0"/>
        <v>0</v>
      </c>
      <c r="G5" s="172" t="s">
        <v>7</v>
      </c>
      <c r="H5" s="51">
        <f>H4/12</f>
        <v>2</v>
      </c>
      <c r="I5" s="173" t="s">
        <v>12</v>
      </c>
    </row>
    <row r="6" spans="2:9" x14ac:dyDescent="0.3">
      <c r="B6" s="50">
        <v>2020</v>
      </c>
      <c r="C6" s="169">
        <f>H9</f>
        <v>589600</v>
      </c>
      <c r="D6" s="169"/>
      <c r="E6" s="74">
        <f t="shared" si="0"/>
        <v>589600</v>
      </c>
      <c r="G6" s="172" t="s">
        <v>5</v>
      </c>
      <c r="H6" s="53">
        <f>1.99+1.36</f>
        <v>3.35</v>
      </c>
      <c r="I6" s="173" t="s">
        <v>6</v>
      </c>
    </row>
    <row r="7" spans="2:9" x14ac:dyDescent="0.3">
      <c r="B7" s="50">
        <v>2021</v>
      </c>
      <c r="C7" s="169"/>
      <c r="D7" s="174"/>
      <c r="E7" s="74">
        <f t="shared" si="0"/>
        <v>0</v>
      </c>
      <c r="G7" s="172" t="s">
        <v>8</v>
      </c>
      <c r="H7" s="51">
        <f>H5*H6</f>
        <v>6.7</v>
      </c>
      <c r="I7" s="173" t="s">
        <v>13</v>
      </c>
    </row>
    <row r="8" spans="2:9" ht="17.25" thickBot="1" x14ac:dyDescent="0.35">
      <c r="B8" s="50">
        <v>2022</v>
      </c>
      <c r="C8" s="169"/>
      <c r="D8" s="174"/>
      <c r="E8" s="74">
        <f t="shared" si="0"/>
        <v>0</v>
      </c>
      <c r="G8" s="175" t="s">
        <v>14</v>
      </c>
      <c r="H8" s="176">
        <f>88000</f>
        <v>88000</v>
      </c>
      <c r="I8" s="177" t="s">
        <v>34</v>
      </c>
    </row>
    <row r="9" spans="2:9" ht="17.25" thickBot="1" x14ac:dyDescent="0.35">
      <c r="B9" s="50">
        <v>2023</v>
      </c>
      <c r="C9" s="169"/>
      <c r="D9" s="174"/>
      <c r="E9" s="74">
        <f t="shared" si="0"/>
        <v>0</v>
      </c>
      <c r="G9" s="178" t="s">
        <v>80</v>
      </c>
      <c r="H9" s="179">
        <f>H7*H8</f>
        <v>589600</v>
      </c>
      <c r="I9" s="180" t="s">
        <v>15</v>
      </c>
    </row>
    <row r="10" spans="2:9" ht="15" customHeight="1" x14ac:dyDescent="0.3">
      <c r="B10" s="50">
        <v>2024</v>
      </c>
      <c r="C10" s="169"/>
      <c r="D10" s="174"/>
      <c r="E10" s="74">
        <f t="shared" si="0"/>
        <v>0</v>
      </c>
    </row>
    <row r="11" spans="2:9" ht="15" customHeight="1" x14ac:dyDescent="0.3">
      <c r="B11" s="50">
        <v>2025</v>
      </c>
      <c r="C11" s="169">
        <f>H9</f>
        <v>589600</v>
      </c>
      <c r="D11" s="174">
        <f>H9</f>
        <v>589600</v>
      </c>
      <c r="E11" s="74">
        <f t="shared" si="0"/>
        <v>0</v>
      </c>
      <c r="G11" s="316" t="s">
        <v>149</v>
      </c>
      <c r="H11" s="316"/>
      <c r="I11" s="316"/>
    </row>
    <row r="12" spans="2:9" ht="16.5" customHeight="1" x14ac:dyDescent="0.3">
      <c r="B12" s="50">
        <v>2026</v>
      </c>
      <c r="C12" s="169"/>
      <c r="D12" s="174"/>
      <c r="E12" s="74">
        <f t="shared" si="0"/>
        <v>0</v>
      </c>
      <c r="G12" s="306" t="s">
        <v>139</v>
      </c>
      <c r="H12" s="307"/>
      <c r="I12" s="308"/>
    </row>
    <row r="13" spans="2:9" x14ac:dyDescent="0.3">
      <c r="B13" s="50">
        <v>2027</v>
      </c>
      <c r="C13" s="169"/>
      <c r="D13" s="169"/>
      <c r="E13" s="74">
        <f>C13-D13</f>
        <v>0</v>
      </c>
      <c r="G13" s="309"/>
      <c r="H13" s="310"/>
      <c r="I13" s="311"/>
    </row>
    <row r="14" spans="2:9" x14ac:dyDescent="0.3">
      <c r="B14" s="50">
        <v>2028</v>
      </c>
      <c r="C14" s="169"/>
      <c r="D14" s="174"/>
      <c r="E14" s="74">
        <f t="shared" si="0"/>
        <v>0</v>
      </c>
      <c r="G14" s="312"/>
      <c r="H14" s="313"/>
      <c r="I14" s="314"/>
    </row>
    <row r="15" spans="2:9" x14ac:dyDescent="0.3">
      <c r="B15" s="50">
        <v>2029</v>
      </c>
      <c r="C15" s="169"/>
      <c r="D15" s="174"/>
      <c r="E15" s="74">
        <f t="shared" si="0"/>
        <v>0</v>
      </c>
      <c r="G15" s="306" t="s">
        <v>140</v>
      </c>
      <c r="H15" s="307"/>
      <c r="I15" s="308"/>
    </row>
    <row r="16" spans="2:9" ht="16.5" customHeight="1" x14ac:dyDescent="0.3">
      <c r="B16" s="50">
        <v>2030</v>
      </c>
      <c r="C16" s="169">
        <f>H9</f>
        <v>589600</v>
      </c>
      <c r="D16" s="174">
        <f>'Net O&amp;M'!H9</f>
        <v>589600</v>
      </c>
      <c r="E16" s="74">
        <f>C16-D16</f>
        <v>0</v>
      </c>
      <c r="G16" s="309"/>
      <c r="H16" s="310"/>
      <c r="I16" s="311"/>
    </row>
    <row r="17" spans="2:9" x14ac:dyDescent="0.3">
      <c r="B17" s="50">
        <v>2031</v>
      </c>
      <c r="C17" s="169"/>
      <c r="D17" s="174"/>
      <c r="E17" s="74">
        <f t="shared" si="0"/>
        <v>0</v>
      </c>
      <c r="G17" s="312"/>
      <c r="H17" s="313"/>
      <c r="I17" s="314"/>
    </row>
    <row r="18" spans="2:9" x14ac:dyDescent="0.3">
      <c r="B18" s="50">
        <v>2032</v>
      </c>
      <c r="C18" s="169"/>
      <c r="D18" s="174"/>
      <c r="E18" s="74">
        <f t="shared" si="0"/>
        <v>0</v>
      </c>
      <c r="G18" s="181"/>
      <c r="H18" s="181"/>
      <c r="I18" s="181"/>
    </row>
    <row r="19" spans="2:9" x14ac:dyDescent="0.3">
      <c r="B19" s="50">
        <v>2033</v>
      </c>
      <c r="C19" s="169"/>
      <c r="D19" s="174"/>
      <c r="E19" s="74">
        <f t="shared" si="0"/>
        <v>0</v>
      </c>
      <c r="G19" s="181"/>
      <c r="H19" s="181"/>
      <c r="I19" s="181"/>
    </row>
    <row r="20" spans="2:9" x14ac:dyDescent="0.3">
      <c r="B20" s="50">
        <v>2034</v>
      </c>
      <c r="C20" s="169"/>
      <c r="D20" s="169"/>
      <c r="E20" s="74">
        <f t="shared" si="0"/>
        <v>0</v>
      </c>
      <c r="G20" s="181"/>
      <c r="H20" s="181"/>
      <c r="I20" s="181"/>
    </row>
    <row r="21" spans="2:9" x14ac:dyDescent="0.3">
      <c r="B21" s="50">
        <v>2035</v>
      </c>
      <c r="C21" s="169">
        <f>H9</f>
        <v>589600</v>
      </c>
      <c r="D21" s="174">
        <f>H9</f>
        <v>589600</v>
      </c>
      <c r="E21" s="74">
        <f t="shared" si="0"/>
        <v>0</v>
      </c>
      <c r="G21" s="181"/>
      <c r="H21" s="181"/>
      <c r="I21" s="181"/>
    </row>
    <row r="22" spans="2:9" x14ac:dyDescent="0.3">
      <c r="B22" s="50">
        <v>2036</v>
      </c>
      <c r="C22" s="169"/>
      <c r="D22" s="174"/>
      <c r="E22" s="74">
        <f t="shared" si="0"/>
        <v>0</v>
      </c>
      <c r="G22" s="181"/>
      <c r="H22" s="181"/>
      <c r="I22" s="181"/>
    </row>
    <row r="23" spans="2:9" x14ac:dyDescent="0.3">
      <c r="B23" s="50">
        <v>2037</v>
      </c>
      <c r="C23" s="169"/>
      <c r="D23" s="174"/>
      <c r="E23" s="74">
        <f t="shared" si="0"/>
        <v>0</v>
      </c>
      <c r="G23" s="181"/>
      <c r="H23" s="181"/>
      <c r="I23" s="181"/>
    </row>
    <row r="24" spans="2:9" x14ac:dyDescent="0.3">
      <c r="B24" s="50">
        <v>2038</v>
      </c>
      <c r="C24" s="169"/>
      <c r="D24" s="174"/>
      <c r="E24" s="74">
        <f t="shared" si="0"/>
        <v>0</v>
      </c>
      <c r="G24" s="181"/>
      <c r="H24" s="181"/>
      <c r="I24" s="181"/>
    </row>
    <row r="25" spans="2:9" x14ac:dyDescent="0.3">
      <c r="B25" s="50">
        <v>2039</v>
      </c>
      <c r="C25" s="169"/>
      <c r="D25" s="174"/>
      <c r="E25" s="74">
        <f t="shared" si="0"/>
        <v>0</v>
      </c>
      <c r="G25" s="181"/>
      <c r="H25" s="181"/>
      <c r="I25" s="181"/>
    </row>
    <row r="26" spans="2:9" ht="17.25" thickBot="1" x14ac:dyDescent="0.35">
      <c r="B26" s="62">
        <v>2040</v>
      </c>
      <c r="C26" s="182">
        <f>H9</f>
        <v>589600</v>
      </c>
      <c r="D26" s="183">
        <f>H9</f>
        <v>589600</v>
      </c>
      <c r="E26" s="75">
        <f t="shared" si="0"/>
        <v>0</v>
      </c>
      <c r="G26" s="181"/>
      <c r="H26" s="181"/>
      <c r="I26" s="181"/>
    </row>
    <row r="27" spans="2:9" x14ac:dyDescent="0.3">
      <c r="B27" s="302" t="s">
        <v>133</v>
      </c>
      <c r="C27" s="302"/>
      <c r="D27" s="302"/>
      <c r="E27" s="304">
        <f>SUM(E3:E26)</f>
        <v>589600</v>
      </c>
      <c r="G27" s="181"/>
      <c r="H27" s="181"/>
      <c r="I27" s="181"/>
    </row>
    <row r="28" spans="2:9" ht="17.25" thickBot="1" x14ac:dyDescent="0.35">
      <c r="B28" s="303"/>
      <c r="C28" s="303"/>
      <c r="D28" s="303"/>
      <c r="E28" s="305"/>
      <c r="G28" s="181"/>
      <c r="H28" s="181"/>
      <c r="I28" s="181"/>
    </row>
    <row r="29" spans="2:9" x14ac:dyDescent="0.3">
      <c r="B29" s="279" t="s">
        <v>138</v>
      </c>
      <c r="C29" s="279"/>
      <c r="D29" s="279"/>
      <c r="E29" s="279"/>
      <c r="G29" s="181"/>
      <c r="H29" s="181"/>
      <c r="I29" s="181"/>
    </row>
    <row r="30" spans="2:9" x14ac:dyDescent="0.3">
      <c r="B30" s="279"/>
      <c r="C30" s="279"/>
      <c r="D30" s="279"/>
      <c r="E30" s="279"/>
    </row>
  </sheetData>
  <mergeCells count="8">
    <mergeCell ref="B27:D28"/>
    <mergeCell ref="E27:E28"/>
    <mergeCell ref="B29:E30"/>
    <mergeCell ref="G15:I17"/>
    <mergeCell ref="B1:E1"/>
    <mergeCell ref="G2:I2"/>
    <mergeCell ref="G11:I11"/>
    <mergeCell ref="G12:I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1:L30"/>
  <sheetViews>
    <sheetView tabSelected="1" workbookViewId="0">
      <selection activeCell="I41" sqref="I41"/>
    </sheetView>
  </sheetViews>
  <sheetFormatPr defaultRowHeight="16.5" x14ac:dyDescent="0.3"/>
  <cols>
    <col min="1" max="1" width="3.7109375" style="1" customWidth="1"/>
    <col min="2" max="7" width="12.7109375" style="1" customWidth="1"/>
    <col min="8" max="8" width="9.140625" style="1"/>
    <col min="9" max="9" width="48.85546875" style="1" bestFit="1" customWidth="1"/>
    <col min="10" max="10" width="11.5703125" style="1" bestFit="1" customWidth="1"/>
    <col min="11" max="11" width="12.85546875" style="1" bestFit="1" customWidth="1"/>
    <col min="12" max="12" width="11.5703125" style="1" bestFit="1" customWidth="1"/>
    <col min="13" max="16384" width="9.140625" style="1"/>
  </cols>
  <sheetData>
    <row r="1" spans="2:12" ht="17.25" thickBot="1" x14ac:dyDescent="0.35">
      <c r="B1" s="315" t="s">
        <v>150</v>
      </c>
      <c r="C1" s="315"/>
      <c r="D1" s="315"/>
      <c r="E1" s="315"/>
      <c r="F1" s="315"/>
      <c r="G1" s="315"/>
    </row>
    <row r="2" spans="2:12" s="80" customFormat="1" ht="33.75" thickBot="1" x14ac:dyDescent="0.35">
      <c r="B2" s="162" t="s">
        <v>36</v>
      </c>
      <c r="C2" s="163" t="s">
        <v>0</v>
      </c>
      <c r="D2" s="163" t="s">
        <v>1</v>
      </c>
      <c r="E2" s="163" t="s">
        <v>3</v>
      </c>
      <c r="F2" s="186" t="s">
        <v>2</v>
      </c>
      <c r="G2" s="187" t="s">
        <v>38</v>
      </c>
      <c r="I2" s="315" t="s">
        <v>151</v>
      </c>
      <c r="J2" s="315"/>
      <c r="K2" s="315"/>
      <c r="L2" s="315"/>
    </row>
    <row r="3" spans="2:12" x14ac:dyDescent="0.3">
      <c r="B3" s="38">
        <v>2017</v>
      </c>
      <c r="C3" s="165">
        <v>0</v>
      </c>
      <c r="D3" s="165">
        <v>0</v>
      </c>
      <c r="E3" s="165">
        <v>0</v>
      </c>
      <c r="F3" s="188">
        <v>0</v>
      </c>
      <c r="G3" s="189">
        <f>SUM(C3:F3)</f>
        <v>0</v>
      </c>
      <c r="I3" s="323" t="s">
        <v>27</v>
      </c>
      <c r="J3" s="324"/>
      <c r="K3" s="324"/>
      <c r="L3" s="325"/>
    </row>
    <row r="4" spans="2:12" x14ac:dyDescent="0.3">
      <c r="B4" s="50">
        <v>2018</v>
      </c>
      <c r="C4" s="169">
        <v>300000</v>
      </c>
      <c r="D4" s="169">
        <v>0</v>
      </c>
      <c r="E4" s="169">
        <v>0</v>
      </c>
      <c r="F4" s="190">
        <v>0</v>
      </c>
      <c r="G4" s="191">
        <f t="shared" ref="G4:G26" si="0">SUM(C4:F4)</f>
        <v>300000</v>
      </c>
      <c r="I4" s="214" t="s">
        <v>18</v>
      </c>
      <c r="J4" s="192" t="s">
        <v>5</v>
      </c>
      <c r="K4" s="192" t="s">
        <v>19</v>
      </c>
      <c r="L4" s="215" t="s">
        <v>20</v>
      </c>
    </row>
    <row r="5" spans="2:12" x14ac:dyDescent="0.3">
      <c r="B5" s="50">
        <v>2019</v>
      </c>
      <c r="C5" s="169">
        <v>0</v>
      </c>
      <c r="D5" s="169">
        <v>500000</v>
      </c>
      <c r="E5" s="169">
        <v>0</v>
      </c>
      <c r="F5" s="190">
        <v>0</v>
      </c>
      <c r="G5" s="191">
        <f t="shared" si="0"/>
        <v>500000</v>
      </c>
      <c r="I5" s="216" t="s">
        <v>2</v>
      </c>
      <c r="J5" s="184">
        <v>1.99</v>
      </c>
      <c r="K5" s="185">
        <v>1250000</v>
      </c>
      <c r="L5" s="217">
        <f>J5*K5</f>
        <v>2487500</v>
      </c>
    </row>
    <row r="6" spans="2:12" x14ac:dyDescent="0.3">
      <c r="B6" s="50">
        <v>2020</v>
      </c>
      <c r="C6" s="169">
        <v>0</v>
      </c>
      <c r="D6" s="169">
        <v>0</v>
      </c>
      <c r="E6" s="169">
        <v>500000</v>
      </c>
      <c r="F6" s="190">
        <v>4700000</v>
      </c>
      <c r="G6" s="191">
        <f t="shared" si="0"/>
        <v>5200000</v>
      </c>
      <c r="I6" s="218" t="s">
        <v>17</v>
      </c>
      <c r="J6" s="193"/>
      <c r="K6" s="193"/>
      <c r="L6" s="219">
        <v>500000</v>
      </c>
    </row>
    <row r="7" spans="2:12" x14ac:dyDescent="0.3">
      <c r="B7" s="50">
        <v>2021</v>
      </c>
      <c r="C7" s="174">
        <v>0</v>
      </c>
      <c r="D7" s="174">
        <v>0</v>
      </c>
      <c r="E7" s="174">
        <v>0</v>
      </c>
      <c r="F7" s="194">
        <v>0</v>
      </c>
      <c r="G7" s="191">
        <f t="shared" si="0"/>
        <v>0</v>
      </c>
      <c r="I7" s="329" t="s">
        <v>21</v>
      </c>
      <c r="J7" s="330"/>
      <c r="K7" s="330"/>
      <c r="L7" s="217">
        <f>SUM(L5:L6)</f>
        <v>2987500</v>
      </c>
    </row>
    <row r="8" spans="2:12" x14ac:dyDescent="0.3">
      <c r="B8" s="50">
        <v>2022</v>
      </c>
      <c r="C8" s="174">
        <v>0</v>
      </c>
      <c r="D8" s="174">
        <v>0</v>
      </c>
      <c r="E8" s="174">
        <v>0</v>
      </c>
      <c r="F8" s="194">
        <v>0</v>
      </c>
      <c r="G8" s="191">
        <f t="shared" si="0"/>
        <v>0</v>
      </c>
      <c r="I8" s="216"/>
      <c r="J8" s="105"/>
      <c r="K8" s="105"/>
      <c r="L8" s="220"/>
    </row>
    <row r="9" spans="2:12" x14ac:dyDescent="0.3">
      <c r="B9" s="50">
        <v>2023</v>
      </c>
      <c r="C9" s="174">
        <v>0</v>
      </c>
      <c r="D9" s="174">
        <v>0</v>
      </c>
      <c r="E9" s="174">
        <v>0</v>
      </c>
      <c r="F9" s="194">
        <v>0</v>
      </c>
      <c r="G9" s="191">
        <f t="shared" si="0"/>
        <v>0</v>
      </c>
      <c r="I9" s="216" t="s">
        <v>22</v>
      </c>
      <c r="J9" s="105"/>
      <c r="K9" s="105"/>
      <c r="L9" s="217">
        <f>L7*0.05</f>
        <v>149375</v>
      </c>
    </row>
    <row r="10" spans="2:12" x14ac:dyDescent="0.3">
      <c r="B10" s="50">
        <v>2024</v>
      </c>
      <c r="C10" s="174">
        <v>0</v>
      </c>
      <c r="D10" s="174">
        <v>0</v>
      </c>
      <c r="E10" s="174">
        <v>0</v>
      </c>
      <c r="F10" s="194">
        <v>0</v>
      </c>
      <c r="G10" s="191">
        <f t="shared" si="0"/>
        <v>0</v>
      </c>
      <c r="I10" s="216" t="s">
        <v>23</v>
      </c>
      <c r="J10" s="105"/>
      <c r="K10" s="105"/>
      <c r="L10" s="217">
        <f>L7*0.1</f>
        <v>298750</v>
      </c>
    </row>
    <row r="11" spans="2:12" x14ac:dyDescent="0.3">
      <c r="B11" s="50">
        <v>2025</v>
      </c>
      <c r="C11" s="174">
        <v>0</v>
      </c>
      <c r="D11" s="174">
        <v>0</v>
      </c>
      <c r="E11" s="174">
        <v>0</v>
      </c>
      <c r="F11" s="194">
        <v>0</v>
      </c>
      <c r="G11" s="191">
        <f t="shared" si="0"/>
        <v>0</v>
      </c>
      <c r="I11" s="218" t="s">
        <v>24</v>
      </c>
      <c r="J11" s="193"/>
      <c r="K11" s="193"/>
      <c r="L11" s="219">
        <f>L7*0.1</f>
        <v>298750</v>
      </c>
    </row>
    <row r="12" spans="2:12" x14ac:dyDescent="0.3">
      <c r="B12" s="50">
        <v>2026</v>
      </c>
      <c r="C12" s="174">
        <v>0</v>
      </c>
      <c r="D12" s="174">
        <v>0</v>
      </c>
      <c r="E12" s="174">
        <v>0</v>
      </c>
      <c r="F12" s="194">
        <v>0</v>
      </c>
      <c r="G12" s="191">
        <f t="shared" si="0"/>
        <v>0</v>
      </c>
      <c r="I12" s="331" t="s">
        <v>25</v>
      </c>
      <c r="J12" s="332"/>
      <c r="K12" s="332"/>
      <c r="L12" s="219">
        <f>SUM(L9:L11)</f>
        <v>746875</v>
      </c>
    </row>
    <row r="13" spans="2:12" ht="17.25" thickBot="1" x14ac:dyDescent="0.35">
      <c r="B13" s="50">
        <v>2027</v>
      </c>
      <c r="C13" s="174">
        <v>0</v>
      </c>
      <c r="D13" s="174">
        <v>0</v>
      </c>
      <c r="E13" s="174">
        <v>0</v>
      </c>
      <c r="F13" s="194">
        <v>0</v>
      </c>
      <c r="G13" s="191">
        <f t="shared" si="0"/>
        <v>0</v>
      </c>
      <c r="I13" s="319" t="s">
        <v>28</v>
      </c>
      <c r="J13" s="320"/>
      <c r="K13" s="320"/>
      <c r="L13" s="221">
        <f>L7+L12</f>
        <v>3734375</v>
      </c>
    </row>
    <row r="14" spans="2:12" ht="17.25" thickBot="1" x14ac:dyDescent="0.35">
      <c r="B14" s="50">
        <v>2028</v>
      </c>
      <c r="C14" s="174">
        <v>0</v>
      </c>
      <c r="D14" s="174">
        <v>0</v>
      </c>
      <c r="E14" s="174">
        <v>0</v>
      </c>
      <c r="F14" s="194">
        <v>0</v>
      </c>
      <c r="G14" s="191">
        <f t="shared" si="0"/>
        <v>0</v>
      </c>
    </row>
    <row r="15" spans="2:12" x14ac:dyDescent="0.3">
      <c r="B15" s="50">
        <v>2029</v>
      </c>
      <c r="C15" s="174">
        <v>0</v>
      </c>
      <c r="D15" s="174">
        <v>0</v>
      </c>
      <c r="E15" s="174">
        <v>0</v>
      </c>
      <c r="F15" s="194">
        <v>0</v>
      </c>
      <c r="G15" s="191">
        <f t="shared" si="0"/>
        <v>0</v>
      </c>
      <c r="I15" s="323" t="s">
        <v>26</v>
      </c>
      <c r="J15" s="324"/>
      <c r="K15" s="324"/>
      <c r="L15" s="325"/>
    </row>
    <row r="16" spans="2:12" x14ac:dyDescent="0.3">
      <c r="B16" s="50">
        <v>2030</v>
      </c>
      <c r="C16" s="174">
        <v>0</v>
      </c>
      <c r="D16" s="174">
        <v>0</v>
      </c>
      <c r="E16" s="174">
        <v>0</v>
      </c>
      <c r="F16" s="194">
        <v>0</v>
      </c>
      <c r="G16" s="191">
        <f t="shared" si="0"/>
        <v>0</v>
      </c>
      <c r="I16" s="214" t="s">
        <v>18</v>
      </c>
      <c r="J16" s="192" t="s">
        <v>5</v>
      </c>
      <c r="K16" s="192" t="s">
        <v>19</v>
      </c>
      <c r="L16" s="215" t="s">
        <v>20</v>
      </c>
    </row>
    <row r="17" spans="2:12" x14ac:dyDescent="0.3">
      <c r="B17" s="50">
        <v>2031</v>
      </c>
      <c r="C17" s="174">
        <v>0</v>
      </c>
      <c r="D17" s="174">
        <v>0</v>
      </c>
      <c r="E17" s="174">
        <v>0</v>
      </c>
      <c r="F17" s="194">
        <v>0</v>
      </c>
      <c r="G17" s="191">
        <f t="shared" si="0"/>
        <v>0</v>
      </c>
      <c r="I17" s="218" t="s">
        <v>2</v>
      </c>
      <c r="J17" s="195">
        <v>1.36</v>
      </c>
      <c r="K17" s="196">
        <v>1250000</v>
      </c>
      <c r="L17" s="219">
        <f>J17*K17</f>
        <v>1700000.0000000002</v>
      </c>
    </row>
    <row r="18" spans="2:12" x14ac:dyDescent="0.3">
      <c r="B18" s="50">
        <v>2032</v>
      </c>
      <c r="C18" s="174">
        <v>0</v>
      </c>
      <c r="D18" s="174">
        <v>0</v>
      </c>
      <c r="E18" s="174">
        <v>0</v>
      </c>
      <c r="F18" s="194">
        <v>0</v>
      </c>
      <c r="G18" s="191">
        <f t="shared" si="0"/>
        <v>0</v>
      </c>
      <c r="I18" s="327" t="s">
        <v>21</v>
      </c>
      <c r="J18" s="328"/>
      <c r="K18" s="328"/>
      <c r="L18" s="222">
        <f>SUM(L17:L17)</f>
        <v>1700000.0000000002</v>
      </c>
    </row>
    <row r="19" spans="2:12" x14ac:dyDescent="0.3">
      <c r="B19" s="50">
        <v>2033</v>
      </c>
      <c r="C19" s="174">
        <v>0</v>
      </c>
      <c r="D19" s="174">
        <v>0</v>
      </c>
      <c r="E19" s="174">
        <v>0</v>
      </c>
      <c r="F19" s="194">
        <v>0</v>
      </c>
      <c r="G19" s="191">
        <f t="shared" si="0"/>
        <v>0</v>
      </c>
      <c r="I19" s="216"/>
      <c r="J19" s="105"/>
      <c r="K19" s="105"/>
      <c r="L19" s="220"/>
    </row>
    <row r="20" spans="2:12" x14ac:dyDescent="0.3">
      <c r="B20" s="50">
        <v>2034</v>
      </c>
      <c r="C20" s="174">
        <v>0</v>
      </c>
      <c r="D20" s="174">
        <v>0</v>
      </c>
      <c r="E20" s="174">
        <v>0</v>
      </c>
      <c r="F20" s="194">
        <v>0</v>
      </c>
      <c r="G20" s="191">
        <f t="shared" si="0"/>
        <v>0</v>
      </c>
      <c r="I20" s="216" t="s">
        <v>22</v>
      </c>
      <c r="J20" s="105"/>
      <c r="K20" s="105"/>
      <c r="L20" s="217">
        <f>L18*0.05</f>
        <v>85000.000000000015</v>
      </c>
    </row>
    <row r="21" spans="2:12" x14ac:dyDescent="0.3">
      <c r="B21" s="50">
        <v>2035</v>
      </c>
      <c r="C21" s="174">
        <v>0</v>
      </c>
      <c r="D21" s="174">
        <v>0</v>
      </c>
      <c r="E21" s="174">
        <v>0</v>
      </c>
      <c r="F21" s="194">
        <v>0</v>
      </c>
      <c r="G21" s="191">
        <f t="shared" si="0"/>
        <v>0</v>
      </c>
      <c r="I21" s="216" t="s">
        <v>23</v>
      </c>
      <c r="J21" s="105"/>
      <c r="K21" s="105"/>
      <c r="L21" s="217">
        <f>L18*0.1</f>
        <v>170000.00000000003</v>
      </c>
    </row>
    <row r="22" spans="2:12" x14ac:dyDescent="0.3">
      <c r="B22" s="50">
        <v>2036</v>
      </c>
      <c r="C22" s="174">
        <v>0</v>
      </c>
      <c r="D22" s="174">
        <v>0</v>
      </c>
      <c r="E22" s="174">
        <v>0</v>
      </c>
      <c r="F22" s="194">
        <v>0</v>
      </c>
      <c r="G22" s="191">
        <f t="shared" si="0"/>
        <v>0</v>
      </c>
      <c r="I22" s="218" t="s">
        <v>24</v>
      </c>
      <c r="J22" s="193"/>
      <c r="K22" s="193"/>
      <c r="L22" s="219">
        <f>L18*0.1</f>
        <v>170000.00000000003</v>
      </c>
    </row>
    <row r="23" spans="2:12" x14ac:dyDescent="0.3">
      <c r="B23" s="50">
        <v>2037</v>
      </c>
      <c r="C23" s="174">
        <v>0</v>
      </c>
      <c r="D23" s="174">
        <v>0</v>
      </c>
      <c r="E23" s="174">
        <v>0</v>
      </c>
      <c r="F23" s="194">
        <v>0</v>
      </c>
      <c r="G23" s="191">
        <f t="shared" si="0"/>
        <v>0</v>
      </c>
      <c r="I23" s="317" t="s">
        <v>25</v>
      </c>
      <c r="J23" s="318"/>
      <c r="K23" s="318"/>
      <c r="L23" s="223">
        <f>SUM(L20:L22)</f>
        <v>425000.00000000012</v>
      </c>
    </row>
    <row r="24" spans="2:12" ht="17.25" thickBot="1" x14ac:dyDescent="0.35">
      <c r="B24" s="50">
        <v>2038</v>
      </c>
      <c r="C24" s="174">
        <v>0</v>
      </c>
      <c r="D24" s="174">
        <v>0</v>
      </c>
      <c r="E24" s="174">
        <v>0</v>
      </c>
      <c r="F24" s="194">
        <v>0</v>
      </c>
      <c r="G24" s="191">
        <f t="shared" si="0"/>
        <v>0</v>
      </c>
      <c r="I24" s="319" t="s">
        <v>29</v>
      </c>
      <c r="J24" s="320"/>
      <c r="K24" s="320"/>
      <c r="L24" s="221">
        <f>L18+L23</f>
        <v>2125000.0000000005</v>
      </c>
    </row>
    <row r="25" spans="2:12" ht="17.25" thickBot="1" x14ac:dyDescent="0.35">
      <c r="B25" s="50">
        <v>2039</v>
      </c>
      <c r="C25" s="174">
        <v>0</v>
      </c>
      <c r="D25" s="174">
        <v>0</v>
      </c>
      <c r="E25" s="174">
        <v>0</v>
      </c>
      <c r="F25" s="194">
        <v>0</v>
      </c>
      <c r="G25" s="191">
        <f t="shared" si="0"/>
        <v>0</v>
      </c>
    </row>
    <row r="26" spans="2:12" ht="17.25" thickBot="1" x14ac:dyDescent="0.35">
      <c r="B26" s="62">
        <v>2040</v>
      </c>
      <c r="C26" s="183">
        <v>0</v>
      </c>
      <c r="D26" s="183">
        <v>0</v>
      </c>
      <c r="E26" s="183">
        <v>0</v>
      </c>
      <c r="F26" s="197">
        <v>0</v>
      </c>
      <c r="G26" s="198">
        <f t="shared" si="0"/>
        <v>0</v>
      </c>
      <c r="I26" s="321" t="s">
        <v>30</v>
      </c>
      <c r="J26" s="322"/>
      <c r="K26" s="322"/>
      <c r="L26" s="224">
        <f>L13+L24</f>
        <v>5859375</v>
      </c>
    </row>
    <row r="27" spans="2:12" ht="17.25" thickBot="1" x14ac:dyDescent="0.35">
      <c r="C27" s="326" t="s">
        <v>131</v>
      </c>
      <c r="D27" s="326"/>
      <c r="E27" s="326"/>
      <c r="F27" s="326"/>
      <c r="G27" s="199">
        <f>SUM(G3:G26)</f>
        <v>6000000</v>
      </c>
      <c r="I27" s="80"/>
      <c r="J27" s="80"/>
      <c r="K27" s="80"/>
      <c r="L27" s="80"/>
    </row>
    <row r="28" spans="2:12" x14ac:dyDescent="0.3">
      <c r="B28" s="226" t="s">
        <v>137</v>
      </c>
      <c r="I28" s="80"/>
      <c r="J28" s="80"/>
      <c r="K28" s="80"/>
      <c r="L28" s="80"/>
    </row>
    <row r="29" spans="2:12" x14ac:dyDescent="0.3">
      <c r="I29" s="80"/>
      <c r="J29" s="80"/>
      <c r="K29" s="80"/>
      <c r="L29" s="80"/>
    </row>
    <row r="30" spans="2:12" x14ac:dyDescent="0.3">
      <c r="I30" s="80"/>
      <c r="J30" s="80"/>
      <c r="K30" s="80"/>
      <c r="L30" s="80"/>
    </row>
  </sheetData>
  <mergeCells count="12">
    <mergeCell ref="C27:F27"/>
    <mergeCell ref="I18:K18"/>
    <mergeCell ref="I7:K7"/>
    <mergeCell ref="I12:K12"/>
    <mergeCell ref="I13:K13"/>
    <mergeCell ref="I15:L15"/>
    <mergeCell ref="B1:G1"/>
    <mergeCell ref="I23:K23"/>
    <mergeCell ref="I24:K24"/>
    <mergeCell ref="I26:K26"/>
    <mergeCell ref="I2:L2"/>
    <mergeCell ref="I3:L3"/>
  </mergeCells>
  <pageMargins left="0.7" right="0.7" top="0.75" bottom="0.75" header="0.3" footer="0.3"/>
  <pageSetup orientation="portrait" r:id="rId1"/>
  <ignoredErrors>
    <ignoredError sqref="G3:G26"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R37"/>
  <sheetViews>
    <sheetView workbookViewId="0">
      <selection activeCell="G39" sqref="G39"/>
    </sheetView>
  </sheetViews>
  <sheetFormatPr defaultRowHeight="16.5" x14ac:dyDescent="0.3"/>
  <cols>
    <col min="1" max="1" width="3.7109375" style="1" customWidth="1"/>
    <col min="2" max="2" width="12.7109375" style="201" customWidth="1"/>
    <col min="3" max="18" width="12.7109375" style="1" customWidth="1"/>
    <col min="19" max="16384" width="9.140625" style="1"/>
  </cols>
  <sheetData>
    <row r="1" spans="2:18" ht="17.25" thickBot="1" x14ac:dyDescent="0.35">
      <c r="B1" s="284" t="s">
        <v>152</v>
      </c>
      <c r="C1" s="284"/>
      <c r="D1" s="284"/>
      <c r="E1" s="284"/>
      <c r="G1" s="284" t="s">
        <v>153</v>
      </c>
      <c r="H1" s="284"/>
      <c r="I1" s="284"/>
      <c r="J1" s="284"/>
      <c r="L1" s="284" t="s">
        <v>154</v>
      </c>
      <c r="M1" s="284"/>
      <c r="N1" s="284"/>
      <c r="O1" s="284"/>
    </row>
    <row r="2" spans="2:18" ht="16.5" customHeight="1" x14ac:dyDescent="0.3">
      <c r="B2" s="333" t="s">
        <v>37</v>
      </c>
      <c r="C2" s="338"/>
      <c r="D2" s="338"/>
      <c r="E2" s="335" t="s">
        <v>38</v>
      </c>
      <c r="G2" s="333" t="s">
        <v>37</v>
      </c>
      <c r="H2" s="338"/>
      <c r="I2" s="338"/>
      <c r="J2" s="339" t="s">
        <v>38</v>
      </c>
      <c r="L2" s="341" t="s">
        <v>37</v>
      </c>
      <c r="M2" s="338"/>
      <c r="N2" s="338"/>
      <c r="O2" s="339" t="s">
        <v>38</v>
      </c>
    </row>
    <row r="3" spans="2:18" s="2" customFormat="1" ht="66.75" thickBot="1" x14ac:dyDescent="0.3">
      <c r="B3" s="334"/>
      <c r="C3" s="35" t="s">
        <v>118</v>
      </c>
      <c r="D3" s="35" t="s">
        <v>50</v>
      </c>
      <c r="E3" s="336"/>
      <c r="G3" s="337"/>
      <c r="H3" s="11" t="s">
        <v>86</v>
      </c>
      <c r="I3" s="11" t="s">
        <v>50</v>
      </c>
      <c r="J3" s="340"/>
      <c r="L3" s="342"/>
      <c r="M3" s="11" t="s">
        <v>86</v>
      </c>
      <c r="N3" s="11" t="s">
        <v>50</v>
      </c>
      <c r="O3" s="340"/>
    </row>
    <row r="4" spans="2:18" x14ac:dyDescent="0.3">
      <c r="B4" s="14">
        <v>2017</v>
      </c>
      <c r="C4" s="15">
        <f>'Safety Benefits'!AD5</f>
        <v>0</v>
      </c>
      <c r="D4" s="73">
        <f>'Net O&amp;M'!E3</f>
        <v>0</v>
      </c>
      <c r="E4" s="16">
        <f>'Capital Costs'!G3</f>
        <v>0</v>
      </c>
      <c r="G4" s="14">
        <v>2017</v>
      </c>
      <c r="H4" s="15">
        <f t="shared" ref="H4:H27" si="0">C4/1.07^($G4-2016)</f>
        <v>0</v>
      </c>
      <c r="I4" s="15">
        <f t="shared" ref="I4:I27" si="1">D4/1.07^($G4-2016)</f>
        <v>0</v>
      </c>
      <c r="J4" s="16">
        <f t="shared" ref="J4:J27" si="2">E4/1.07^($G4-2016)</f>
        <v>0</v>
      </c>
      <c r="L4" s="31">
        <v>2017</v>
      </c>
      <c r="M4" s="12"/>
      <c r="N4" s="12">
        <f t="shared" ref="N4:N27" si="3">D4/1.03^($L4-2016)</f>
        <v>0</v>
      </c>
      <c r="O4" s="32">
        <f t="shared" ref="O4:O27" si="4">E4/1.03^($L4-2016)</f>
        <v>0</v>
      </c>
    </row>
    <row r="5" spans="2:18" x14ac:dyDescent="0.3">
      <c r="B5" s="17">
        <v>2018</v>
      </c>
      <c r="C5" s="13">
        <f>'Safety Benefits'!AD6</f>
        <v>0</v>
      </c>
      <c r="D5" s="74">
        <f>'Net O&amp;M'!E4</f>
        <v>0</v>
      </c>
      <c r="E5" s="18">
        <f>'Capital Costs'!G4</f>
        <v>300000</v>
      </c>
      <c r="F5" s="3"/>
      <c r="G5" s="17">
        <v>2018</v>
      </c>
      <c r="H5" s="13">
        <f t="shared" si="0"/>
        <v>0</v>
      </c>
      <c r="I5" s="13">
        <f t="shared" si="1"/>
        <v>0</v>
      </c>
      <c r="J5" s="18">
        <f t="shared" si="2"/>
        <v>262031.61848196349</v>
      </c>
      <c r="K5" s="3"/>
      <c r="L5" s="28">
        <v>2018</v>
      </c>
      <c r="M5" s="13"/>
      <c r="N5" s="13">
        <f t="shared" si="3"/>
        <v>0</v>
      </c>
      <c r="O5" s="27">
        <f t="shared" si="4"/>
        <v>282778.7727401263</v>
      </c>
      <c r="P5" s="3"/>
      <c r="Q5" s="3"/>
      <c r="R5" s="3"/>
    </row>
    <row r="6" spans="2:18" x14ac:dyDescent="0.3">
      <c r="B6" s="19">
        <v>2019</v>
      </c>
      <c r="C6" s="13">
        <f>'Safety Benefits'!AD7</f>
        <v>0</v>
      </c>
      <c r="D6" s="74">
        <f>'Net O&amp;M'!E5</f>
        <v>0</v>
      </c>
      <c r="E6" s="18">
        <f>'Capital Costs'!G5</f>
        <v>500000</v>
      </c>
      <c r="F6" s="4"/>
      <c r="G6" s="19">
        <v>2019</v>
      </c>
      <c r="H6" s="13">
        <f t="shared" si="0"/>
        <v>0</v>
      </c>
      <c r="I6" s="13">
        <f t="shared" si="1"/>
        <v>0</v>
      </c>
      <c r="J6" s="18">
        <f t="shared" si="2"/>
        <v>408148.93844542594</v>
      </c>
      <c r="K6" s="4"/>
      <c r="L6" s="26">
        <v>2019</v>
      </c>
      <c r="M6" s="13"/>
      <c r="N6" s="13">
        <f t="shared" si="3"/>
        <v>0</v>
      </c>
      <c r="O6" s="27">
        <f t="shared" si="4"/>
        <v>457570.8296765798</v>
      </c>
      <c r="P6" s="4"/>
      <c r="Q6" s="4"/>
      <c r="R6" s="4"/>
    </row>
    <row r="7" spans="2:18" x14ac:dyDescent="0.3">
      <c r="B7" s="17">
        <v>2020</v>
      </c>
      <c r="C7" s="13">
        <f>'Safety Benefits'!AD8</f>
        <v>0</v>
      </c>
      <c r="D7" s="74">
        <f>'Net O&amp;M'!E6</f>
        <v>589600</v>
      </c>
      <c r="E7" s="18">
        <f>'Capital Costs'!G6</f>
        <v>5200000</v>
      </c>
      <c r="F7" s="4"/>
      <c r="G7" s="17">
        <v>2020</v>
      </c>
      <c r="H7" s="13">
        <f t="shared" si="0"/>
        <v>0</v>
      </c>
      <c r="I7" s="13">
        <f t="shared" si="1"/>
        <v>449803.01702322089</v>
      </c>
      <c r="J7" s="18">
        <f t="shared" si="2"/>
        <v>3967055.1026471313</v>
      </c>
      <c r="K7" s="4"/>
      <c r="L7" s="28">
        <v>2020</v>
      </c>
      <c r="M7" s="13"/>
      <c r="N7" s="13">
        <f t="shared" si="3"/>
        <v>523851.96345109021</v>
      </c>
      <c r="O7" s="27">
        <f t="shared" si="4"/>
        <v>4620132.6491615828</v>
      </c>
      <c r="P7" s="4"/>
      <c r="Q7" s="4"/>
      <c r="R7" s="4"/>
    </row>
    <row r="8" spans="2:18" x14ac:dyDescent="0.3">
      <c r="B8" s="19">
        <v>2021</v>
      </c>
      <c r="C8" s="13">
        <f>'Safety Benefits'!AD9</f>
        <v>256571.60068145345</v>
      </c>
      <c r="D8" s="74">
        <f>'Net O&amp;M'!E7</f>
        <v>0</v>
      </c>
      <c r="E8" s="18">
        <f>'Capital Costs'!G7</f>
        <v>0</v>
      </c>
      <c r="F8" s="4"/>
      <c r="G8" s="19">
        <v>2021</v>
      </c>
      <c r="H8" s="13">
        <f t="shared" si="0"/>
        <v>182932.00533387886</v>
      </c>
      <c r="I8" s="13">
        <f t="shared" si="1"/>
        <v>0</v>
      </c>
      <c r="J8" s="18">
        <f t="shared" si="2"/>
        <v>0</v>
      </c>
      <c r="K8" s="4"/>
      <c r="L8" s="26">
        <v>2021</v>
      </c>
      <c r="M8" s="13">
        <f t="shared" ref="M8:M27" si="5">C8/1.03^($L8-2016)</f>
        <v>221320.91657132772</v>
      </c>
      <c r="N8" s="13">
        <f t="shared" si="3"/>
        <v>0</v>
      </c>
      <c r="O8" s="27">
        <f t="shared" si="4"/>
        <v>0</v>
      </c>
      <c r="P8" s="4"/>
      <c r="Q8" s="4"/>
      <c r="R8" s="4"/>
    </row>
    <row r="9" spans="2:18" x14ac:dyDescent="0.3">
      <c r="B9" s="17">
        <v>2022</v>
      </c>
      <c r="C9" s="13">
        <f>'Safety Benefits'!AD10</f>
        <v>260420.17469167526</v>
      </c>
      <c r="D9" s="74">
        <f>'Net O&amp;M'!E8</f>
        <v>0</v>
      </c>
      <c r="E9" s="18">
        <f>'Capital Costs'!G8</f>
        <v>0</v>
      </c>
      <c r="F9" s="4"/>
      <c r="G9" s="17">
        <v>2022</v>
      </c>
      <c r="H9" s="13">
        <f t="shared" si="0"/>
        <v>173528.95833073556</v>
      </c>
      <c r="I9" s="13">
        <f t="shared" si="1"/>
        <v>0</v>
      </c>
      <c r="J9" s="18">
        <f t="shared" si="2"/>
        <v>0</v>
      </c>
      <c r="K9" s="4"/>
      <c r="L9" s="28">
        <v>2022</v>
      </c>
      <c r="M9" s="13">
        <f t="shared" si="5"/>
        <v>218097.79642708509</v>
      </c>
      <c r="N9" s="13">
        <f t="shared" si="3"/>
        <v>0</v>
      </c>
      <c r="O9" s="27">
        <f t="shared" si="4"/>
        <v>0</v>
      </c>
      <c r="P9" s="4"/>
      <c r="Q9" s="4"/>
      <c r="R9" s="4"/>
    </row>
    <row r="10" spans="2:18" x14ac:dyDescent="0.3">
      <c r="B10" s="19">
        <v>2023</v>
      </c>
      <c r="C10" s="13">
        <f>'Safety Benefits'!AD11</f>
        <v>264326.47731205029</v>
      </c>
      <c r="D10" s="74">
        <f>'Net O&amp;M'!E9</f>
        <v>0</v>
      </c>
      <c r="E10" s="18">
        <f>'Capital Costs'!G9</f>
        <v>0</v>
      </c>
      <c r="F10" s="4"/>
      <c r="G10" s="19">
        <v>2023</v>
      </c>
      <c r="H10" s="13">
        <f t="shared" si="0"/>
        <v>164609.24551934254</v>
      </c>
      <c r="I10" s="13">
        <f t="shared" si="1"/>
        <v>0</v>
      </c>
      <c r="J10" s="18">
        <f t="shared" si="2"/>
        <v>0</v>
      </c>
      <c r="K10" s="4"/>
      <c r="L10" s="26">
        <v>2023</v>
      </c>
      <c r="M10" s="13">
        <f t="shared" si="5"/>
        <v>214921.61492571968</v>
      </c>
      <c r="N10" s="13">
        <f t="shared" si="3"/>
        <v>0</v>
      </c>
      <c r="O10" s="27">
        <f t="shared" si="4"/>
        <v>0</v>
      </c>
      <c r="P10" s="4"/>
      <c r="Q10" s="4"/>
      <c r="R10" s="4"/>
    </row>
    <row r="11" spans="2:18" x14ac:dyDescent="0.3">
      <c r="B11" s="17">
        <v>2024</v>
      </c>
      <c r="C11" s="13">
        <f>'Safety Benefits'!AD12</f>
        <v>268291.37447173108</v>
      </c>
      <c r="D11" s="74">
        <f>'Net O&amp;M'!E10</f>
        <v>0</v>
      </c>
      <c r="E11" s="18">
        <f>'Capital Costs'!G10</f>
        <v>0</v>
      </c>
      <c r="F11" s="4"/>
      <c r="G11" s="17">
        <v>2024</v>
      </c>
      <c r="H11" s="13">
        <f t="shared" si="0"/>
        <v>156148.02261881562</v>
      </c>
      <c r="I11" s="13">
        <f t="shared" si="1"/>
        <v>0</v>
      </c>
      <c r="J11" s="18">
        <f t="shared" si="2"/>
        <v>0</v>
      </c>
      <c r="K11" s="4"/>
      <c r="L11" s="28">
        <v>2024</v>
      </c>
      <c r="M11" s="13">
        <f t="shared" si="5"/>
        <v>211791.68849476264</v>
      </c>
      <c r="N11" s="13">
        <f t="shared" si="3"/>
        <v>0</v>
      </c>
      <c r="O11" s="27">
        <f t="shared" si="4"/>
        <v>0</v>
      </c>
      <c r="P11" s="4"/>
      <c r="Q11" s="4"/>
      <c r="R11" s="4"/>
    </row>
    <row r="12" spans="2:18" x14ac:dyDescent="0.3">
      <c r="B12" s="19">
        <v>2025</v>
      </c>
      <c r="C12" s="13">
        <f>'Safety Benefits'!AD13</f>
        <v>299156.87491931597</v>
      </c>
      <c r="D12" s="74">
        <f>'Net O&amp;M'!E11</f>
        <v>0</v>
      </c>
      <c r="E12" s="18">
        <f>'Capital Costs'!G11</f>
        <v>0</v>
      </c>
      <c r="G12" s="19">
        <v>2025</v>
      </c>
      <c r="H12" s="13">
        <f t="shared" si="0"/>
        <v>162721.51859464138</v>
      </c>
      <c r="I12" s="13">
        <f t="shared" si="1"/>
        <v>0</v>
      </c>
      <c r="J12" s="18">
        <f t="shared" si="2"/>
        <v>0</v>
      </c>
      <c r="L12" s="26">
        <v>2025</v>
      </c>
      <c r="M12" s="13">
        <f t="shared" si="5"/>
        <v>229278.83453379327</v>
      </c>
      <c r="N12" s="13">
        <f t="shared" si="3"/>
        <v>0</v>
      </c>
      <c r="O12" s="27">
        <f t="shared" si="4"/>
        <v>0</v>
      </c>
    </row>
    <row r="13" spans="2:18" x14ac:dyDescent="0.3">
      <c r="B13" s="17">
        <v>2026</v>
      </c>
      <c r="C13" s="13">
        <f>'Safety Benefits'!AD14</f>
        <v>303644.22804310563</v>
      </c>
      <c r="D13" s="74">
        <f>'Net O&amp;M'!E12</f>
        <v>0</v>
      </c>
      <c r="E13" s="18">
        <f>'Capital Costs'!G12</f>
        <v>0</v>
      </c>
      <c r="G13" s="17">
        <v>2026</v>
      </c>
      <c r="H13" s="13">
        <f t="shared" si="0"/>
        <v>154357.32838650557</v>
      </c>
      <c r="I13" s="13">
        <f t="shared" si="1"/>
        <v>0</v>
      </c>
      <c r="J13" s="18">
        <f t="shared" si="2"/>
        <v>0</v>
      </c>
      <c r="L13" s="28">
        <v>2026</v>
      </c>
      <c r="M13" s="13">
        <f t="shared" si="5"/>
        <v>225939.82238038845</v>
      </c>
      <c r="N13" s="13">
        <f t="shared" si="3"/>
        <v>0</v>
      </c>
      <c r="O13" s="27">
        <f t="shared" si="4"/>
        <v>0</v>
      </c>
    </row>
    <row r="14" spans="2:18" x14ac:dyDescent="0.3">
      <c r="B14" s="19">
        <v>2027</v>
      </c>
      <c r="C14" s="13">
        <f>'Safety Benefits'!AD15</f>
        <v>308198.8914637522</v>
      </c>
      <c r="D14" s="74">
        <f>'Net O&amp;M'!E13</f>
        <v>0</v>
      </c>
      <c r="E14" s="18">
        <f>'Capital Costs'!G13</f>
        <v>0</v>
      </c>
      <c r="G14" s="19">
        <v>2027</v>
      </c>
      <c r="H14" s="13">
        <f t="shared" si="0"/>
        <v>146423.07318906835</v>
      </c>
      <c r="I14" s="13">
        <f t="shared" si="1"/>
        <v>0</v>
      </c>
      <c r="J14" s="18">
        <f t="shared" si="2"/>
        <v>0</v>
      </c>
      <c r="L14" s="26">
        <v>2027</v>
      </c>
      <c r="M14" s="13">
        <f t="shared" si="5"/>
        <v>222649.43661756723</v>
      </c>
      <c r="N14" s="13">
        <f t="shared" si="3"/>
        <v>0</v>
      </c>
      <c r="O14" s="27">
        <f t="shared" si="4"/>
        <v>0</v>
      </c>
    </row>
    <row r="15" spans="2:18" x14ac:dyDescent="0.3">
      <c r="B15" s="17">
        <v>2028</v>
      </c>
      <c r="C15" s="13">
        <f>'Safety Benefits'!AD16</f>
        <v>312821.87483570847</v>
      </c>
      <c r="D15" s="74">
        <f>'Net O&amp;M'!E14</f>
        <v>0</v>
      </c>
      <c r="E15" s="18">
        <f>'Capital Costs'!G14</f>
        <v>0</v>
      </c>
      <c r="G15" s="17">
        <v>2028</v>
      </c>
      <c r="H15" s="13">
        <f t="shared" si="0"/>
        <v>138896.65353916297</v>
      </c>
      <c r="I15" s="13">
        <f t="shared" si="1"/>
        <v>0</v>
      </c>
      <c r="J15" s="18">
        <f t="shared" si="2"/>
        <v>0</v>
      </c>
      <c r="L15" s="28">
        <v>2028</v>
      </c>
      <c r="M15" s="13">
        <f t="shared" si="5"/>
        <v>219406.96909401048</v>
      </c>
      <c r="N15" s="13">
        <f t="shared" si="3"/>
        <v>0</v>
      </c>
      <c r="O15" s="27">
        <f t="shared" si="4"/>
        <v>0</v>
      </c>
    </row>
    <row r="16" spans="2:18" x14ac:dyDescent="0.3">
      <c r="B16" s="19">
        <v>2029</v>
      </c>
      <c r="C16" s="13">
        <f>'Safety Benefits'!AD17</f>
        <v>317514.20295824407</v>
      </c>
      <c r="D16" s="74">
        <f>'Net O&amp;M'!E15</f>
        <v>0</v>
      </c>
      <c r="E16" s="18">
        <f>'Capital Costs'!G15</f>
        <v>0</v>
      </c>
      <c r="G16" s="19">
        <v>2029</v>
      </c>
      <c r="H16" s="13">
        <f t="shared" si="0"/>
        <v>131757.10592733682</v>
      </c>
      <c r="I16" s="13">
        <f t="shared" si="1"/>
        <v>0</v>
      </c>
      <c r="J16" s="18">
        <f t="shared" si="2"/>
        <v>0</v>
      </c>
      <c r="L16" s="26">
        <v>2029</v>
      </c>
      <c r="M16" s="13">
        <f t="shared" si="5"/>
        <v>216211.72197128215</v>
      </c>
      <c r="N16" s="13">
        <f t="shared" si="3"/>
        <v>0</v>
      </c>
      <c r="O16" s="27">
        <f t="shared" si="4"/>
        <v>0</v>
      </c>
    </row>
    <row r="17" spans="2:15" x14ac:dyDescent="0.3">
      <c r="B17" s="17">
        <v>2030</v>
      </c>
      <c r="C17" s="13">
        <f>'Safety Benefits'!AD18</f>
        <v>322276.91600261763</v>
      </c>
      <c r="D17" s="74">
        <f>'Net O&amp;M'!E16</f>
        <v>0</v>
      </c>
      <c r="E17" s="18">
        <f>'Capital Costs'!G16</f>
        <v>0</v>
      </c>
      <c r="G17" s="17">
        <v>2030</v>
      </c>
      <c r="H17" s="13">
        <f t="shared" si="0"/>
        <v>124984.54440770733</v>
      </c>
      <c r="I17" s="13">
        <f t="shared" si="1"/>
        <v>0</v>
      </c>
      <c r="J17" s="18">
        <f t="shared" si="2"/>
        <v>0</v>
      </c>
      <c r="L17" s="28">
        <v>2030</v>
      </c>
      <c r="M17" s="13">
        <f t="shared" si="5"/>
        <v>213063.00757364204</v>
      </c>
      <c r="N17" s="13">
        <f t="shared" si="3"/>
        <v>0</v>
      </c>
      <c r="O17" s="27">
        <f t="shared" si="4"/>
        <v>0</v>
      </c>
    </row>
    <row r="18" spans="2:15" x14ac:dyDescent="0.3">
      <c r="B18" s="19">
        <v>2031</v>
      </c>
      <c r="C18" s="13">
        <f>'Safety Benefits'!AD19</f>
        <v>327111.06974265684</v>
      </c>
      <c r="D18" s="74">
        <f>'Net O&amp;M'!E17</f>
        <v>0</v>
      </c>
      <c r="E18" s="18">
        <f>'Capital Costs'!G17</f>
        <v>0</v>
      </c>
      <c r="G18" s="19">
        <v>2031</v>
      </c>
      <c r="H18" s="13">
        <f t="shared" si="0"/>
        <v>118560.10520918028</v>
      </c>
      <c r="I18" s="13">
        <f t="shared" si="1"/>
        <v>0</v>
      </c>
      <c r="J18" s="18">
        <f t="shared" si="2"/>
        <v>0</v>
      </c>
      <c r="L18" s="26">
        <v>2031</v>
      </c>
      <c r="M18" s="13">
        <f t="shared" si="5"/>
        <v>209960.14824004524</v>
      </c>
      <c r="N18" s="13">
        <f t="shared" si="3"/>
        <v>0</v>
      </c>
      <c r="O18" s="27">
        <f t="shared" si="4"/>
        <v>0</v>
      </c>
    </row>
    <row r="19" spans="2:15" x14ac:dyDescent="0.3">
      <c r="B19" s="17">
        <v>2032</v>
      </c>
      <c r="C19" s="13">
        <f>'Safety Benefits'!AD20</f>
        <v>332017.73578879674</v>
      </c>
      <c r="D19" s="74">
        <f>'Net O&amp;M'!E18</f>
        <v>0</v>
      </c>
      <c r="E19" s="18">
        <f>'Capital Costs'!G18</f>
        <v>0</v>
      </c>
      <c r="G19" s="17">
        <v>2032</v>
      </c>
      <c r="H19" s="13">
        <f t="shared" si="0"/>
        <v>112465.89419375516</v>
      </c>
      <c r="I19" s="13">
        <f t="shared" si="1"/>
        <v>0</v>
      </c>
      <c r="J19" s="18">
        <f t="shared" si="2"/>
        <v>0</v>
      </c>
      <c r="L19" s="28">
        <v>2032</v>
      </c>
      <c r="M19" s="13">
        <f t="shared" si="5"/>
        <v>206902.47617829707</v>
      </c>
      <c r="N19" s="13">
        <f t="shared" si="3"/>
        <v>0</v>
      </c>
      <c r="O19" s="27">
        <f t="shared" si="4"/>
        <v>0</v>
      </c>
    </row>
    <row r="20" spans="2:15" x14ac:dyDescent="0.3">
      <c r="B20" s="19">
        <v>2033</v>
      </c>
      <c r="C20" s="13">
        <f>'Safety Benefits'!AD21</f>
        <v>336998.00182562869</v>
      </c>
      <c r="D20" s="74">
        <f>'Net O&amp;M'!E19</f>
        <v>0</v>
      </c>
      <c r="E20" s="18">
        <f>'Capital Costs'!G19</f>
        <v>0</v>
      </c>
      <c r="G20" s="19">
        <v>2033</v>
      </c>
      <c r="H20" s="13">
        <f t="shared" si="0"/>
        <v>106684.93701557149</v>
      </c>
      <c r="I20" s="13">
        <f t="shared" si="1"/>
        <v>0</v>
      </c>
      <c r="J20" s="18">
        <f t="shared" si="2"/>
        <v>0</v>
      </c>
      <c r="L20" s="26">
        <v>2033</v>
      </c>
      <c r="M20" s="13">
        <f t="shared" si="5"/>
        <v>203889.33332133159</v>
      </c>
      <c r="N20" s="13">
        <f t="shared" si="3"/>
        <v>0</v>
      </c>
      <c r="O20" s="27">
        <f t="shared" si="4"/>
        <v>0</v>
      </c>
    </row>
    <row r="21" spans="2:15" x14ac:dyDescent="0.3">
      <c r="B21" s="17">
        <v>2034</v>
      </c>
      <c r="C21" s="13">
        <f>'Safety Benefits'!AD22</f>
        <v>342052.97185301303</v>
      </c>
      <c r="D21" s="74">
        <f>'Net O&amp;M'!E20</f>
        <v>0</v>
      </c>
      <c r="E21" s="18">
        <f>'Capital Costs'!G20</f>
        <v>0</v>
      </c>
      <c r="G21" s="17">
        <v>2034</v>
      </c>
      <c r="H21" s="13">
        <f t="shared" si="0"/>
        <v>101201.13184187385</v>
      </c>
      <c r="I21" s="13">
        <f t="shared" si="1"/>
        <v>0</v>
      </c>
      <c r="J21" s="18">
        <f t="shared" si="2"/>
        <v>0</v>
      </c>
      <c r="L21" s="28">
        <v>2034</v>
      </c>
      <c r="M21" s="13">
        <f t="shared" si="5"/>
        <v>200920.07118558401</v>
      </c>
      <c r="N21" s="13">
        <f t="shared" si="3"/>
        <v>0</v>
      </c>
      <c r="O21" s="27">
        <f t="shared" si="4"/>
        <v>0</v>
      </c>
    </row>
    <row r="22" spans="2:15" x14ac:dyDescent="0.3">
      <c r="B22" s="19">
        <v>2035</v>
      </c>
      <c r="C22" s="13">
        <f>'Safety Benefits'!AD23</f>
        <v>347183.76643080823</v>
      </c>
      <c r="D22" s="74">
        <f>'Net O&amp;M'!E21</f>
        <v>0</v>
      </c>
      <c r="E22" s="18">
        <f>'Capital Costs'!G21</f>
        <v>0</v>
      </c>
      <c r="G22" s="19">
        <v>2035</v>
      </c>
      <c r="H22" s="13">
        <f t="shared" si="0"/>
        <v>95999.204504207431</v>
      </c>
      <c r="I22" s="13">
        <f t="shared" si="1"/>
        <v>0</v>
      </c>
      <c r="J22" s="18">
        <f t="shared" si="2"/>
        <v>0</v>
      </c>
      <c r="L22" s="26">
        <v>2035</v>
      </c>
      <c r="M22" s="13">
        <f t="shared" si="5"/>
        <v>197994.050731425</v>
      </c>
      <c r="N22" s="13">
        <f t="shared" si="3"/>
        <v>0</v>
      </c>
      <c r="O22" s="27">
        <f t="shared" si="4"/>
        <v>0</v>
      </c>
    </row>
    <row r="23" spans="2:15" x14ac:dyDescent="0.3">
      <c r="B23" s="17">
        <v>2036</v>
      </c>
      <c r="C23" s="13">
        <f>'Safety Benefits'!AD24</f>
        <v>352391.52292727033</v>
      </c>
      <c r="D23" s="74">
        <f>'Net O&amp;M'!E22</f>
        <v>0</v>
      </c>
      <c r="E23" s="18">
        <f>'Capital Costs'!G22</f>
        <v>0</v>
      </c>
      <c r="G23" s="17">
        <v>2036</v>
      </c>
      <c r="H23" s="13">
        <f t="shared" si="0"/>
        <v>91064.665954925746</v>
      </c>
      <c r="I23" s="13">
        <f t="shared" si="1"/>
        <v>0</v>
      </c>
      <c r="J23" s="18">
        <f t="shared" si="2"/>
        <v>0</v>
      </c>
      <c r="L23" s="28">
        <v>2036</v>
      </c>
      <c r="M23" s="13">
        <f t="shared" si="5"/>
        <v>195110.64222562755</v>
      </c>
      <c r="N23" s="13">
        <f t="shared" si="3"/>
        <v>0</v>
      </c>
      <c r="O23" s="27">
        <f t="shared" si="4"/>
        <v>0</v>
      </c>
    </row>
    <row r="24" spans="2:15" x14ac:dyDescent="0.3">
      <c r="B24" s="19">
        <v>2037</v>
      </c>
      <c r="C24" s="13">
        <f>'Safety Benefits'!AD25</f>
        <v>357677.39577117941</v>
      </c>
      <c r="D24" s="74">
        <f>'Net O&amp;M'!E23</f>
        <v>0</v>
      </c>
      <c r="E24" s="18">
        <f>'Capital Costs'!G23</f>
        <v>0</v>
      </c>
      <c r="G24" s="19">
        <v>2037</v>
      </c>
      <c r="H24" s="13">
        <f t="shared" si="0"/>
        <v>86383.771910513678</v>
      </c>
      <c r="I24" s="13">
        <f t="shared" si="1"/>
        <v>0</v>
      </c>
      <c r="J24" s="18">
        <f t="shared" si="2"/>
        <v>0</v>
      </c>
      <c r="L24" s="26">
        <v>2037</v>
      </c>
      <c r="M24" s="13">
        <f t="shared" si="5"/>
        <v>192269.2251058369</v>
      </c>
      <c r="N24" s="13">
        <f t="shared" si="3"/>
        <v>0</v>
      </c>
      <c r="O24" s="27">
        <f t="shared" si="4"/>
        <v>0</v>
      </c>
    </row>
    <row r="25" spans="2:15" x14ac:dyDescent="0.3">
      <c r="B25" s="17">
        <v>2038</v>
      </c>
      <c r="C25" s="13">
        <f>'Safety Benefits'!AD26</f>
        <v>363042.55670774693</v>
      </c>
      <c r="D25" s="74">
        <f>'Net O&amp;M'!E24</f>
        <v>0</v>
      </c>
      <c r="E25" s="18">
        <f>'Capital Costs'!G24</f>
        <v>0</v>
      </c>
      <c r="G25" s="17">
        <v>2038</v>
      </c>
      <c r="H25" s="13">
        <f t="shared" si="0"/>
        <v>81943.484569319015</v>
      </c>
      <c r="I25" s="13">
        <f t="shared" si="1"/>
        <v>0</v>
      </c>
      <c r="J25" s="18">
        <f t="shared" si="2"/>
        <v>0</v>
      </c>
      <c r="L25" s="28">
        <v>2038</v>
      </c>
      <c r="M25" s="13">
        <f t="shared" si="5"/>
        <v>189469.18784701393</v>
      </c>
      <c r="N25" s="13">
        <f t="shared" si="3"/>
        <v>0</v>
      </c>
      <c r="O25" s="27">
        <f t="shared" si="4"/>
        <v>0</v>
      </c>
    </row>
    <row r="26" spans="2:15" x14ac:dyDescent="0.3">
      <c r="B26" s="19">
        <v>2039</v>
      </c>
      <c r="C26" s="13">
        <f>'Safety Benefits'!AD27</f>
        <v>368488.1950583632</v>
      </c>
      <c r="D26" s="74">
        <f>'Net O&amp;M'!E25</f>
        <v>0</v>
      </c>
      <c r="E26" s="18">
        <f>'Capital Costs'!G25</f>
        <v>0</v>
      </c>
      <c r="G26" s="19">
        <v>2039</v>
      </c>
      <c r="H26" s="13">
        <f t="shared" si="0"/>
        <v>77731.436297064312</v>
      </c>
      <c r="I26" s="13">
        <f t="shared" si="1"/>
        <v>0</v>
      </c>
      <c r="J26" s="18">
        <f t="shared" si="2"/>
        <v>0</v>
      </c>
      <c r="L26" s="26">
        <v>2039</v>
      </c>
      <c r="M26" s="13">
        <f t="shared" si="5"/>
        <v>186709.92782982442</v>
      </c>
      <c r="N26" s="13">
        <f t="shared" si="3"/>
        <v>0</v>
      </c>
      <c r="O26" s="27">
        <f t="shared" si="4"/>
        <v>0</v>
      </c>
    </row>
    <row r="27" spans="2:15" ht="17.25" thickBot="1" x14ac:dyDescent="0.35">
      <c r="B27" s="20">
        <v>2040</v>
      </c>
      <c r="C27" s="21">
        <f>'Safety Benefits'!AD28</f>
        <v>374015.51798423851</v>
      </c>
      <c r="D27" s="75">
        <f>'Net O&amp;M'!E26</f>
        <v>0</v>
      </c>
      <c r="E27" s="22">
        <f>'Capital Costs'!G26</f>
        <v>0</v>
      </c>
      <c r="G27" s="20">
        <v>2040</v>
      </c>
      <c r="H27" s="21">
        <f t="shared" si="0"/>
        <v>73735.895178990875</v>
      </c>
      <c r="I27" s="21">
        <f t="shared" si="1"/>
        <v>0</v>
      </c>
      <c r="J27" s="22">
        <f t="shared" si="2"/>
        <v>0</v>
      </c>
      <c r="L27" s="29">
        <v>2040</v>
      </c>
      <c r="M27" s="21">
        <f t="shared" si="5"/>
        <v>183990.85121094345</v>
      </c>
      <c r="N27" s="21">
        <f t="shared" si="3"/>
        <v>0</v>
      </c>
      <c r="O27" s="30">
        <f t="shared" si="4"/>
        <v>0</v>
      </c>
    </row>
    <row r="28" spans="2:15" ht="17.25" thickBot="1" x14ac:dyDescent="0.35">
      <c r="B28" s="5"/>
      <c r="C28" s="9"/>
      <c r="D28" s="9"/>
      <c r="E28" s="9"/>
    </row>
    <row r="29" spans="2:15" ht="17.25" thickBot="1" x14ac:dyDescent="0.35">
      <c r="B29" s="5"/>
      <c r="C29" s="9"/>
      <c r="D29" s="10" t="s">
        <v>39</v>
      </c>
      <c r="E29" s="23">
        <f>SUM(C4:D27)</f>
        <v>7003801.3494693562</v>
      </c>
      <c r="I29" s="7" t="s">
        <v>46</v>
      </c>
      <c r="J29" s="33">
        <f>SUM(H4:I27)</f>
        <v>2931931.9995458173</v>
      </c>
      <c r="N29" s="7" t="s">
        <v>48</v>
      </c>
      <c r="O29" s="33">
        <f>SUM(M4:N27)</f>
        <v>4683749.685916597</v>
      </c>
    </row>
    <row r="30" spans="2:15" ht="17.25" thickBot="1" x14ac:dyDescent="0.35">
      <c r="B30" s="5"/>
      <c r="C30" s="9"/>
      <c r="D30" s="10" t="s">
        <v>40</v>
      </c>
      <c r="E30" s="24">
        <f>SUM(E4:E27)</f>
        <v>6000000</v>
      </c>
      <c r="I30" s="7" t="s">
        <v>47</v>
      </c>
      <c r="J30" s="24">
        <f>SUM(J4:J27)</f>
        <v>4637235.6595745208</v>
      </c>
      <c r="N30" s="7" t="s">
        <v>49</v>
      </c>
      <c r="O30" s="24">
        <f>SUM(O4:O27)</f>
        <v>5360482.2515782891</v>
      </c>
    </row>
    <row r="31" spans="2:15" ht="17.25" thickBot="1" x14ac:dyDescent="0.35">
      <c r="B31" s="5"/>
    </row>
    <row r="32" spans="2:15" ht="17.25" thickBot="1" x14ac:dyDescent="0.35">
      <c r="B32" s="5"/>
      <c r="D32" s="8" t="s">
        <v>41</v>
      </c>
      <c r="E32" s="25">
        <f>E29-E30</f>
        <v>1003801.3494693562</v>
      </c>
      <c r="I32" s="8" t="s">
        <v>42</v>
      </c>
      <c r="J32" s="25">
        <f>J29-J30</f>
        <v>-1705303.6600287035</v>
      </c>
      <c r="N32" s="8" t="s">
        <v>44</v>
      </c>
      <c r="O32" s="25">
        <f>O29-O30</f>
        <v>-676732.56566169206</v>
      </c>
    </row>
    <row r="33" spans="2:15" ht="17.25" thickBot="1" x14ac:dyDescent="0.35">
      <c r="B33" s="5"/>
    </row>
    <row r="34" spans="2:15" ht="17.25" thickBot="1" x14ac:dyDescent="0.35">
      <c r="D34" s="8" t="s">
        <v>31</v>
      </c>
      <c r="E34" s="34">
        <f>E29/E30</f>
        <v>1.1673002249115594</v>
      </c>
      <c r="I34" s="8" t="s">
        <v>43</v>
      </c>
      <c r="J34" s="34">
        <f>J29/J30</f>
        <v>0.63225857273227948</v>
      </c>
      <c r="N34" s="8" t="s">
        <v>45</v>
      </c>
      <c r="O34" s="34">
        <f>O29/O30</f>
        <v>0.87375528284559822</v>
      </c>
    </row>
    <row r="37" spans="2:15" x14ac:dyDescent="0.3">
      <c r="C37" s="4"/>
      <c r="D37" s="4"/>
      <c r="H37" s="4"/>
      <c r="I37" s="4"/>
      <c r="M37" s="4"/>
      <c r="N37" s="4"/>
    </row>
  </sheetData>
  <mergeCells count="12">
    <mergeCell ref="L1:O1"/>
    <mergeCell ref="L2:L3"/>
    <mergeCell ref="M2:N2"/>
    <mergeCell ref="O2:O3"/>
    <mergeCell ref="C2:D2"/>
    <mergeCell ref="B2:B3"/>
    <mergeCell ref="E2:E3"/>
    <mergeCell ref="B1:E1"/>
    <mergeCell ref="G1:J1"/>
    <mergeCell ref="G2:G3"/>
    <mergeCell ref="H2:I2"/>
    <mergeCell ref="J2:J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Traffic – VMT</vt:lpstr>
      <vt:lpstr>Safety Benefits</vt:lpstr>
      <vt:lpstr>Net O&amp;M</vt:lpstr>
      <vt:lpstr>Capital Costs</vt:lpstr>
      <vt:lpstr>BC Summary</vt:lpstr>
    </vt:vector>
  </TitlesOfParts>
  <Company>ahtd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Brooks, Travis</dc:creator>
  <cp:lastModifiedBy>Brooks, Travis</cp:lastModifiedBy>
  <dcterms:created xsi:type="dcterms:W3CDTF">2017-10-05T14:47:35Z</dcterms:created>
  <dcterms:modified xsi:type="dcterms:W3CDTF">2017-10-13T18:49:18Z</dcterms:modified>
</cp:coreProperties>
</file>